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D2254BC5-5709-4395-830D-3E8A11A9D7DE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Home" sheetId="8" r:id="rId1"/>
    <sheet name="Instruções" sheetId="44" r:id="rId2"/>
    <sheet name="Dados do Aluno" sheetId="7" r:id="rId3"/>
    <sheet name="Anamnese1" sheetId="1" r:id="rId4"/>
    <sheet name="Apoio2" sheetId="10" state="hidden" r:id="rId5"/>
    <sheet name="Apoio" sheetId="9" state="hidden" r:id="rId6"/>
    <sheet name="Composição Corporal1" sheetId="2" r:id="rId7"/>
    <sheet name="Composição Corporal2" sheetId="34" r:id="rId8"/>
    <sheet name="Composição Corporal3" sheetId="35" r:id="rId9"/>
    <sheet name="Composição Corporal4" sheetId="36" r:id="rId10"/>
    <sheet name="Composição Corporal5" sheetId="37" r:id="rId11"/>
    <sheet name="Composição Corporal6" sheetId="38" r:id="rId12"/>
    <sheet name="Força e Resistência e Aerobico" sheetId="3" r:id="rId13"/>
    <sheet name="Força e Resistência e Aerobico2" sheetId="27" r:id="rId14"/>
    <sheet name="Força e Resistência e Aerobico3" sheetId="32" r:id="rId15"/>
    <sheet name="Força e Resistência e Aerobico4" sheetId="33" r:id="rId16"/>
    <sheet name="Força e Resistência e Aerobico5" sheetId="39" r:id="rId17"/>
    <sheet name="Força e Resistência e Aerobico6" sheetId="40" r:id="rId18"/>
    <sheet name="Flexibilidade1" sheetId="4" r:id="rId19"/>
    <sheet name="Flexibilidade2" sheetId="29" r:id="rId20"/>
    <sheet name="Flexibilidade3" sheetId="30" r:id="rId21"/>
    <sheet name="Flexibilidade4" sheetId="41" r:id="rId22"/>
    <sheet name="Flexibilidade5" sheetId="42" r:id="rId23"/>
    <sheet name="Flexibilidade6" sheetId="43" r:id="rId24"/>
    <sheet name="Relatório" sheetId="6" r:id="rId25"/>
  </sheets>
  <definedNames>
    <definedName name="_xlnm.Print_Area" localSheetId="3">Anamnese1!$A$2:$I$53</definedName>
    <definedName name="_xlnm.Print_Area" localSheetId="6">'Composição Corporal1'!$A$2:$X$50</definedName>
    <definedName name="_xlnm.Print_Area" localSheetId="7">'Composição Corporal2'!$A$2:$X$50</definedName>
    <definedName name="_xlnm.Print_Area" localSheetId="8">'Composição Corporal3'!$A$2:$X$50</definedName>
    <definedName name="_xlnm.Print_Area" localSheetId="9">'Composição Corporal4'!$A$2:$X$50</definedName>
    <definedName name="_xlnm.Print_Area" localSheetId="10">'Composição Corporal5'!$A$2:$X$50</definedName>
    <definedName name="_xlnm.Print_Area" localSheetId="11">'Composição Corporal6'!$A$2:$X$50</definedName>
    <definedName name="_xlnm.Print_Area" localSheetId="18">Flexibilidade1!$A$2:$O$28</definedName>
    <definedName name="_xlnm.Print_Area" localSheetId="19">Flexibilidade2!$A$2:$O$29</definedName>
    <definedName name="_xlnm.Print_Area" localSheetId="20">Flexibilidade3!$A$2:$O$29</definedName>
    <definedName name="_xlnm.Print_Area" localSheetId="21">Flexibilidade4!$A$2:$O$29</definedName>
    <definedName name="_xlnm.Print_Area" localSheetId="22">Flexibilidade5!$A$2:$O$29</definedName>
    <definedName name="_xlnm.Print_Area" localSheetId="23">Flexibilidade6!$A$2:$O$29</definedName>
    <definedName name="_xlnm.Print_Area" localSheetId="12">'Força e Resistência e Aerobico'!$A$2:$M$31</definedName>
    <definedName name="_xlnm.Print_Area" localSheetId="13">'Força e Resistência e Aerobico2'!$A$2:$M$31</definedName>
    <definedName name="_xlnm.Print_Area" localSheetId="14">'Força e Resistência e Aerobico3'!$A$2:$M$31</definedName>
    <definedName name="_xlnm.Print_Area" localSheetId="15">'Força e Resistência e Aerobico4'!$A$2:$M$31</definedName>
    <definedName name="_xlnm.Print_Area" localSheetId="16">'Força e Resistência e Aerobico5'!$A$2:$M$31</definedName>
    <definedName name="_xlnm.Print_Area" localSheetId="17">'Força e Resistência e Aerobico6'!$A$2:$M$31</definedName>
    <definedName name="_xlnm.Print_Area" localSheetId="24">Relatório!$B$2:$H$78</definedName>
    <definedName name="coluna30">Apoio!$C$2:$G$8</definedName>
    <definedName name="GorduraH18">Apoio2!$A$18:$G$24</definedName>
    <definedName name="GorduraH26">Apoio2!$B$18:$G$24</definedName>
    <definedName name="GorduraH36">Apoio2!$C$18:$G$24</definedName>
    <definedName name="GorduraH46">Apoio2!$D$18:$G$24</definedName>
    <definedName name="GorduraH56">Apoio2!$E$18:$G$24</definedName>
    <definedName name="GorduraH65">Apoio2!$F$18:$G$24</definedName>
    <definedName name="GorduraM18">Apoio2!$A$27:$G$33</definedName>
    <definedName name="GorduraM26">Apoio2!$B$27:$G$33</definedName>
    <definedName name="GorduraM36">Apoio2!$C$27:$G$33</definedName>
    <definedName name="GorduraM46">Apoio2!$D$27:$G$33</definedName>
    <definedName name="GorduraM56">Apoio2!$E$27:$G$33</definedName>
    <definedName name="GorduraM65">Apoio2!$F$27:$G$33</definedName>
    <definedName name="Homem13">Apoio!$A$4:$G$9</definedName>
    <definedName name="Homem20">Apoio!$B$4:$G$9</definedName>
    <definedName name="Homem30">Apoio!$C$4:$G$9</definedName>
    <definedName name="Homem40">Apoio!$D$4:$G$9</definedName>
    <definedName name="Homem50">Apoio!$E$4:$G$9</definedName>
    <definedName name="Homem61">Apoio!$F$4:$G$9</definedName>
    <definedName name="Mulher13">Apoio!$A$13:$G$18</definedName>
    <definedName name="Mulher20">Apoio!$B$13:$G$18</definedName>
    <definedName name="Mulher30">Apoio!$C$13:$G$18</definedName>
    <definedName name="Mulher40">Apoio!$D$13:$G$18</definedName>
    <definedName name="Mulher50">Apoio!$E$13:$G$18</definedName>
    <definedName name="Mulher61">Apoio!$F$13:$G$18</definedName>
    <definedName name="protocolos">Apoio2!$A$1:$A$3</definedName>
    <definedName name="RAhomem15">Apoio!$A$38:$G$42</definedName>
    <definedName name="RAhomem20">Apoio!$B$38:$G$42</definedName>
    <definedName name="RAhomem30">Apoio!$C$38:$G$42</definedName>
    <definedName name="RAhomem40">Apoio!$D$38:$G$42</definedName>
    <definedName name="RAhomem50">Apoio!$E$38:$G$42</definedName>
    <definedName name="RAhomem60">Apoio!$F$38:$G$42</definedName>
    <definedName name="RAmulher15">Apoio!$A$46:$G$50</definedName>
    <definedName name="RAmulher20">Apoio!$B$46:$G$50</definedName>
    <definedName name="RAmulher30">Apoio!$C$46:$G$50</definedName>
    <definedName name="RAmulher40">Apoio!$D$46:$G$50</definedName>
    <definedName name="RAmulher50">Apoio!$E$46:$G$50</definedName>
    <definedName name="RAmulher60">Apoio!$F$46:$G$50</definedName>
    <definedName name="RBhomem15">Apoio!$A$22:$G$26</definedName>
    <definedName name="RBhomem20">Apoio!$B$22:$G$26</definedName>
    <definedName name="RBhomem30">Apoio!$C$22:$G$26</definedName>
    <definedName name="RBhomem40">Apoio!$D$22:$G$26</definedName>
    <definedName name="RBhomem50">Apoio!$E$22:$G$26</definedName>
    <definedName name="RBhomem60">Apoio!$F$22:$G$26</definedName>
    <definedName name="RBmulher15">Apoio!$A$30:$G$34</definedName>
    <definedName name="RBmulher20">Apoio!$B$30:$G$34</definedName>
    <definedName name="RBmulher30">Apoio!$C$30:$G$34</definedName>
    <definedName name="RBmulher40">Apoio!$D$30:$G$34</definedName>
    <definedName name="RBmulher50">Apoio!$E$30:$G$34</definedName>
    <definedName name="RBmulher60">Apoio!$F$30:$G$34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9" l="1"/>
  <c r="J48" i="9"/>
  <c r="J33" i="9"/>
  <c r="J18" i="9"/>
  <c r="C33" i="2"/>
  <c r="H42" i="36"/>
  <c r="H42" i="2"/>
  <c r="H4" i="6"/>
  <c r="G4" i="6"/>
  <c r="F4" i="6"/>
  <c r="E4" i="6"/>
  <c r="D4" i="6"/>
  <c r="C4" i="6"/>
  <c r="G6" i="2"/>
  <c r="S7" i="10" l="1"/>
  <c r="P7" i="10"/>
  <c r="S2" i="10"/>
  <c r="P2" i="10"/>
  <c r="H29" i="6" l="1"/>
  <c r="H28" i="6"/>
  <c r="H27" i="6"/>
  <c r="H26" i="6"/>
  <c r="G29" i="6"/>
  <c r="G28" i="6"/>
  <c r="G27" i="6"/>
  <c r="G26" i="6"/>
  <c r="F29" i="6"/>
  <c r="F28" i="6"/>
  <c r="F27" i="6"/>
  <c r="F26" i="6"/>
  <c r="E29" i="6"/>
  <c r="E28" i="6"/>
  <c r="E27" i="6"/>
  <c r="E26" i="6"/>
  <c r="D29" i="6"/>
  <c r="D28" i="6"/>
  <c r="D27" i="6"/>
  <c r="D26" i="6"/>
  <c r="C29" i="6"/>
  <c r="C28" i="6"/>
  <c r="C27" i="6"/>
  <c r="M34" i="2"/>
  <c r="B50" i="10" s="1"/>
  <c r="C26" i="6"/>
  <c r="M34" i="38"/>
  <c r="H30" i="6" s="1"/>
  <c r="M34" i="37"/>
  <c r="B54" i="10" s="1"/>
  <c r="M34" i="36"/>
  <c r="F30" i="6" s="1"/>
  <c r="M34" i="35"/>
  <c r="B52" i="10" s="1"/>
  <c r="M34" i="34"/>
  <c r="D30" i="6" s="1"/>
  <c r="C50" i="10"/>
  <c r="B55" i="10" l="1"/>
  <c r="B51" i="10"/>
  <c r="G36" i="10"/>
  <c r="C30" i="6"/>
  <c r="E30" i="6"/>
  <c r="B53" i="10"/>
  <c r="G30" i="6"/>
  <c r="E12" i="7" l="1"/>
  <c r="P3" i="10" s="1"/>
  <c r="G44" i="10" l="1"/>
  <c r="D50" i="10"/>
  <c r="G37" i="10"/>
  <c r="C33" i="38"/>
  <c r="C33" i="37"/>
  <c r="C33" i="36"/>
  <c r="C33" i="35"/>
  <c r="F50" i="10" l="1"/>
  <c r="F51" i="10"/>
  <c r="F53" i="10"/>
  <c r="F55" i="10"/>
  <c r="F52" i="10"/>
  <c r="F54" i="10"/>
  <c r="E50" i="10"/>
  <c r="E51" i="10"/>
  <c r="E53" i="10"/>
  <c r="E55" i="10"/>
  <c r="E52" i="10"/>
  <c r="E54" i="10"/>
  <c r="BC7" i="10"/>
  <c r="BC8" i="10" s="1"/>
  <c r="BC2" i="10"/>
  <c r="BC3" i="10" s="1"/>
  <c r="AZ7" i="10"/>
  <c r="AZ8" i="10" s="1"/>
  <c r="AZ2" i="10"/>
  <c r="AZ3" i="10" s="1"/>
  <c r="AW7" i="10"/>
  <c r="AW8" i="10" s="1"/>
  <c r="AW2" i="10"/>
  <c r="AW3" i="10" s="1"/>
  <c r="AT7" i="10"/>
  <c r="AT8" i="10" s="1"/>
  <c r="AT2" i="10"/>
  <c r="AT3" i="10" s="1"/>
  <c r="AQ7" i="10"/>
  <c r="AQ8" i="10" s="1"/>
  <c r="AQ2" i="10"/>
  <c r="AQ3" i="10" s="1"/>
  <c r="AN7" i="10"/>
  <c r="AN8" i="10" s="1"/>
  <c r="AN2" i="10"/>
  <c r="AN3" i="10" s="1"/>
  <c r="AK7" i="10"/>
  <c r="AK8" i="10" s="1"/>
  <c r="AK2" i="10"/>
  <c r="AK3" i="10" s="1"/>
  <c r="AH7" i="10"/>
  <c r="AH8" i="10" s="1"/>
  <c r="AH2" i="10"/>
  <c r="AH3" i="10" s="1"/>
  <c r="AE7" i="10"/>
  <c r="AE8" i="10" s="1"/>
  <c r="AE2" i="10"/>
  <c r="AE3" i="10" s="1"/>
  <c r="AB7" i="10"/>
  <c r="AB8" i="10" s="1"/>
  <c r="AB2" i="10"/>
  <c r="Y7" i="10"/>
  <c r="Y8" i="10" s="1"/>
  <c r="Y2" i="10"/>
  <c r="Y3" i="10" s="1"/>
  <c r="Y4" i="10" s="1"/>
  <c r="V12" i="10" s="1"/>
  <c r="V7" i="10"/>
  <c r="V8" i="10" s="1"/>
  <c r="V2" i="10"/>
  <c r="V3" i="10" s="1"/>
  <c r="M7" i="10"/>
  <c r="M2" i="10"/>
  <c r="M3" i="10" s="1"/>
  <c r="I2" i="10"/>
  <c r="I3" i="10" s="1"/>
  <c r="F2" i="10"/>
  <c r="F3" i="10" s="1"/>
  <c r="C2" i="10"/>
  <c r="C3" i="10" s="1"/>
  <c r="P34" i="2" l="1"/>
  <c r="C31" i="6" s="1"/>
  <c r="P34" i="38"/>
  <c r="H31" i="6" s="1"/>
  <c r="P34" i="37"/>
  <c r="G31" i="6" s="1"/>
  <c r="P34" i="36"/>
  <c r="F31" i="6" s="1"/>
  <c r="P34" i="35"/>
  <c r="E31" i="6" s="1"/>
  <c r="P34" i="34"/>
  <c r="D31" i="6" s="1"/>
  <c r="C3" i="6"/>
  <c r="H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39" i="6"/>
  <c r="H36" i="6"/>
  <c r="H33" i="6"/>
  <c r="H25" i="6"/>
  <c r="H24" i="6"/>
  <c r="H23" i="6"/>
  <c r="H22" i="6"/>
  <c r="H21" i="6"/>
  <c r="H19" i="6"/>
  <c r="H18" i="6"/>
  <c r="H17" i="6"/>
  <c r="H16" i="6"/>
  <c r="H15" i="6"/>
  <c r="H14" i="6"/>
  <c r="H13" i="6"/>
  <c r="H12" i="6"/>
  <c r="H11" i="6"/>
  <c r="H10" i="6"/>
  <c r="H6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39" i="6"/>
  <c r="G36" i="6"/>
  <c r="G33" i="6"/>
  <c r="G25" i="6"/>
  <c r="G24" i="6"/>
  <c r="G23" i="6"/>
  <c r="G22" i="6"/>
  <c r="G21" i="6"/>
  <c r="G19" i="6"/>
  <c r="G18" i="6"/>
  <c r="G17" i="6"/>
  <c r="G16" i="6"/>
  <c r="G15" i="6"/>
  <c r="G14" i="6"/>
  <c r="G13" i="6"/>
  <c r="G12" i="6"/>
  <c r="G11" i="6"/>
  <c r="G10" i="6"/>
  <c r="G6" i="6"/>
  <c r="F61" i="6"/>
  <c r="F60" i="6"/>
  <c r="F59" i="6"/>
  <c r="F58" i="6"/>
  <c r="F57" i="6"/>
  <c r="F56" i="6"/>
  <c r="F55" i="6"/>
  <c r="F53" i="6"/>
  <c r="F54" i="6"/>
  <c r="F52" i="6"/>
  <c r="F51" i="6"/>
  <c r="F50" i="6"/>
  <c r="F49" i="6"/>
  <c r="F48" i="6"/>
  <c r="F47" i="6"/>
  <c r="F46" i="6"/>
  <c r="F45" i="6"/>
  <c r="F44" i="6"/>
  <c r="F43" i="6"/>
  <c r="F42" i="6"/>
  <c r="F39" i="6"/>
  <c r="F36" i="6"/>
  <c r="F33" i="6"/>
  <c r="F25" i="6"/>
  <c r="F24" i="6"/>
  <c r="F23" i="6"/>
  <c r="F22" i="6"/>
  <c r="F21" i="6"/>
  <c r="F19" i="6"/>
  <c r="F18" i="6"/>
  <c r="F17" i="6"/>
  <c r="F16" i="6"/>
  <c r="F15" i="6"/>
  <c r="F14" i="6"/>
  <c r="F13" i="6"/>
  <c r="F12" i="6"/>
  <c r="F11" i="6"/>
  <c r="F10" i="6"/>
  <c r="F6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39" i="6"/>
  <c r="E36" i="6"/>
  <c r="E33" i="6"/>
  <c r="E25" i="6"/>
  <c r="E24" i="6"/>
  <c r="E23" i="6"/>
  <c r="E22" i="6"/>
  <c r="E21" i="6"/>
  <c r="E19" i="6"/>
  <c r="E18" i="6"/>
  <c r="E17" i="6"/>
  <c r="E16" i="6"/>
  <c r="E15" i="6"/>
  <c r="E14" i="6"/>
  <c r="E13" i="6"/>
  <c r="E12" i="6"/>
  <c r="E11" i="6"/>
  <c r="E10" i="6"/>
  <c r="E6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39" i="6"/>
  <c r="D36" i="6"/>
  <c r="D33" i="6"/>
  <c r="D25" i="6"/>
  <c r="D24" i="6"/>
  <c r="D23" i="6"/>
  <c r="D22" i="6"/>
  <c r="D21" i="6"/>
  <c r="D18" i="6"/>
  <c r="D17" i="6"/>
  <c r="D16" i="6"/>
  <c r="D15" i="6"/>
  <c r="D14" i="6"/>
  <c r="D13" i="6"/>
  <c r="D12" i="6"/>
  <c r="D11" i="6"/>
  <c r="D10" i="6"/>
  <c r="D6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39" i="6"/>
  <c r="C36" i="6"/>
  <c r="C33" i="6"/>
  <c r="C25" i="6"/>
  <c r="C24" i="6"/>
  <c r="C23" i="6"/>
  <c r="C22" i="6"/>
  <c r="C21" i="6"/>
  <c r="C18" i="6"/>
  <c r="C17" i="6"/>
  <c r="C16" i="6"/>
  <c r="C15" i="6"/>
  <c r="C14" i="6"/>
  <c r="C13" i="6"/>
  <c r="C12" i="6"/>
  <c r="C11" i="6"/>
  <c r="C10" i="6"/>
  <c r="C6" i="6"/>
  <c r="O26" i="43"/>
  <c r="O26" i="42"/>
  <c r="N28" i="42" s="1"/>
  <c r="G63" i="6" s="1"/>
  <c r="O26" i="41"/>
  <c r="Y37" i="9"/>
  <c r="Y22" i="9"/>
  <c r="Y5" i="9"/>
  <c r="V37" i="9"/>
  <c r="V22" i="9"/>
  <c r="V5" i="9"/>
  <c r="V4" i="9"/>
  <c r="S37" i="9"/>
  <c r="S22" i="9"/>
  <c r="S5" i="9"/>
  <c r="P37" i="9"/>
  <c r="P22" i="9"/>
  <c r="M37" i="9"/>
  <c r="M22" i="9"/>
  <c r="P5" i="9"/>
  <c r="M5" i="9"/>
  <c r="J5" i="9"/>
  <c r="Y4" i="9"/>
  <c r="Y3" i="9"/>
  <c r="V3" i="9"/>
  <c r="S4" i="9"/>
  <c r="S3" i="9"/>
  <c r="P4" i="9"/>
  <c r="P3" i="9"/>
  <c r="M4" i="9"/>
  <c r="M3" i="9"/>
  <c r="J22" i="9"/>
  <c r="J4" i="9"/>
  <c r="J3" i="9"/>
  <c r="H62" i="6" l="1"/>
  <c r="N28" i="43"/>
  <c r="H63" i="6" s="1"/>
  <c r="G62" i="6"/>
  <c r="F62" i="6"/>
  <c r="N28" i="41"/>
  <c r="F63" i="6" s="1"/>
  <c r="M44" i="9"/>
  <c r="M45" i="9" s="1"/>
  <c r="S44" i="9"/>
  <c r="S46" i="9" s="1"/>
  <c r="P44" i="9"/>
  <c r="P46" i="9" s="1"/>
  <c r="Y14" i="9"/>
  <c r="Y16" i="9" s="1"/>
  <c r="J14" i="9"/>
  <c r="J15" i="9" s="1"/>
  <c r="V14" i="9"/>
  <c r="V16" i="9" s="1"/>
  <c r="M6" i="9"/>
  <c r="M29" i="9"/>
  <c r="M30" i="9" s="1"/>
  <c r="S23" i="9"/>
  <c r="S25" i="9" s="1"/>
  <c r="V44" i="9"/>
  <c r="J44" i="9"/>
  <c r="M23" i="9"/>
  <c r="S38" i="9"/>
  <c r="S40" i="9" s="1"/>
  <c r="M14" i="9"/>
  <c r="P14" i="9"/>
  <c r="S14" i="9"/>
  <c r="S15" i="9" s="1"/>
  <c r="V6" i="9"/>
  <c r="V7" i="9" s="1"/>
  <c r="Y44" i="9"/>
  <c r="Y46" i="9" s="1"/>
  <c r="J29" i="9"/>
  <c r="P6" i="9"/>
  <c r="P7" i="9" s="1"/>
  <c r="P23" i="9"/>
  <c r="P24" i="9" s="1"/>
  <c r="P38" i="9"/>
  <c r="J38" i="9"/>
  <c r="J23" i="9"/>
  <c r="J6" i="9"/>
  <c r="Y6" i="9"/>
  <c r="Y23" i="9"/>
  <c r="Y38" i="9"/>
  <c r="M38" i="9"/>
  <c r="M39" i="9" s="1"/>
  <c r="V23" i="9"/>
  <c r="V24" i="9" s="1"/>
  <c r="V38" i="9"/>
  <c r="S6" i="9"/>
  <c r="H42" i="35"/>
  <c r="E69" i="6" s="1"/>
  <c r="H44" i="35"/>
  <c r="E70" i="6" s="1"/>
  <c r="H44" i="34"/>
  <c r="D70" i="6" s="1"/>
  <c r="H44" i="2"/>
  <c r="C70" i="6" s="1"/>
  <c r="H42" i="34"/>
  <c r="D69" i="6" s="1"/>
  <c r="AW4" i="10"/>
  <c r="AW13" i="10" s="1"/>
  <c r="AW27" i="10"/>
  <c r="AW26" i="10"/>
  <c r="AW18" i="10"/>
  <c r="AW17" i="10"/>
  <c r="AZ9" i="10"/>
  <c r="AZ12" i="10" s="1"/>
  <c r="BC9" i="10"/>
  <c r="AZ14" i="10" s="1"/>
  <c r="AW9" i="10"/>
  <c r="AZ13" i="10" s="1"/>
  <c r="BC4" i="10"/>
  <c r="AW14" i="10" s="1"/>
  <c r="AZ4" i="10"/>
  <c r="AW12" i="10" s="1"/>
  <c r="AN26" i="10"/>
  <c r="AN18" i="10"/>
  <c r="AN9" i="10"/>
  <c r="AQ13" i="10" s="1"/>
  <c r="AQ4" i="10"/>
  <c r="AN12" i="10" s="1"/>
  <c r="AN27" i="10"/>
  <c r="AN17" i="10"/>
  <c r="AT9" i="10"/>
  <c r="AQ14" i="10" s="1"/>
  <c r="AT4" i="10"/>
  <c r="AN14" i="10" s="1"/>
  <c r="AE27" i="10"/>
  <c r="AE26" i="10"/>
  <c r="AE18" i="10"/>
  <c r="AE17" i="10"/>
  <c r="AE9" i="10"/>
  <c r="AH13" i="10" s="1"/>
  <c r="AE4" i="10"/>
  <c r="AK9" i="10"/>
  <c r="AH14" i="10" s="1"/>
  <c r="AK4" i="10"/>
  <c r="AE14" i="10" s="1"/>
  <c r="V4" i="10"/>
  <c r="V13" i="10" s="1"/>
  <c r="V17" i="10"/>
  <c r="P4" i="10"/>
  <c r="M12" i="10" s="1"/>
  <c r="V27" i="10"/>
  <c r="V26" i="10"/>
  <c r="V18" i="10"/>
  <c r="AB3" i="10"/>
  <c r="AB4" i="10" s="1"/>
  <c r="V14" i="10" s="1"/>
  <c r="Y9" i="10"/>
  <c r="Y12" i="10" s="1"/>
  <c r="S8" i="10"/>
  <c r="S9" i="10" s="1"/>
  <c r="P14" i="10" s="1"/>
  <c r="S3" i="10"/>
  <c r="S4" i="10" s="1"/>
  <c r="M14" i="10" s="1"/>
  <c r="P8" i="10"/>
  <c r="P9" i="10" s="1"/>
  <c r="P12" i="10" s="1"/>
  <c r="V9" i="10"/>
  <c r="AB9" i="10"/>
  <c r="Y14" i="10" s="1"/>
  <c r="M27" i="10"/>
  <c r="M26" i="10"/>
  <c r="M18" i="10"/>
  <c r="M17" i="10"/>
  <c r="M8" i="10"/>
  <c r="M4" i="10"/>
  <c r="M13" i="10" s="1"/>
  <c r="B56" i="38"/>
  <c r="B55" i="38"/>
  <c r="B54" i="38"/>
  <c r="B53" i="38"/>
  <c r="B52" i="38"/>
  <c r="H44" i="38"/>
  <c r="H42" i="38"/>
  <c r="G6" i="38"/>
  <c r="B56" i="37"/>
  <c r="B55" i="37"/>
  <c r="B54" i="37"/>
  <c r="B53" i="37"/>
  <c r="B52" i="37"/>
  <c r="H44" i="37"/>
  <c r="H42" i="37"/>
  <c r="G6" i="37"/>
  <c r="B56" i="36"/>
  <c r="B55" i="36"/>
  <c r="B54" i="36"/>
  <c r="B53" i="36"/>
  <c r="B52" i="36"/>
  <c r="H44" i="36"/>
  <c r="G6" i="36"/>
  <c r="B56" i="35"/>
  <c r="B55" i="35"/>
  <c r="B54" i="35"/>
  <c r="B53" i="35"/>
  <c r="B52" i="35"/>
  <c r="G6" i="35"/>
  <c r="B56" i="34"/>
  <c r="B55" i="34"/>
  <c r="B54" i="34"/>
  <c r="B53" i="34"/>
  <c r="B52" i="34"/>
  <c r="C33" i="34"/>
  <c r="D19" i="6" s="1"/>
  <c r="G6" i="34"/>
  <c r="M24" i="9" l="1"/>
  <c r="M7" i="9"/>
  <c r="C42" i="38"/>
  <c r="C46" i="38" s="1"/>
  <c r="C44" i="38" s="1"/>
  <c r="C48" i="38" s="1"/>
  <c r="Y13" i="10"/>
  <c r="C42" i="35" s="1"/>
  <c r="V19" i="10" s="1"/>
  <c r="M8" i="9"/>
  <c r="S39" i="9"/>
  <c r="S41" i="9" s="1"/>
  <c r="S42" i="9" s="1"/>
  <c r="S24" i="9"/>
  <c r="S26" i="9" s="1"/>
  <c r="S27" i="9" s="1"/>
  <c r="AE29" i="10"/>
  <c r="AE30" i="10" s="1"/>
  <c r="AN29" i="10"/>
  <c r="AN30" i="10" s="1"/>
  <c r="V8" i="9"/>
  <c r="V9" i="9" s="1"/>
  <c r="V10" i="9" s="1"/>
  <c r="C55" i="34"/>
  <c r="V29" i="10"/>
  <c r="AE20" i="10"/>
  <c r="AE21" i="10" s="1"/>
  <c r="P8" i="9"/>
  <c r="P9" i="9" s="1"/>
  <c r="P10" i="9" s="1"/>
  <c r="C55" i="35"/>
  <c r="V15" i="9"/>
  <c r="V17" i="9" s="1"/>
  <c r="V18" i="9" s="1"/>
  <c r="C56" i="38"/>
  <c r="H70" i="6"/>
  <c r="C56" i="37"/>
  <c r="G70" i="6"/>
  <c r="C56" i="36"/>
  <c r="F70" i="6"/>
  <c r="C56" i="35"/>
  <c r="C56" i="34"/>
  <c r="M46" i="9"/>
  <c r="M47" i="9" s="1"/>
  <c r="M48" i="9" s="1"/>
  <c r="P45" i="9"/>
  <c r="P47" i="9" s="1"/>
  <c r="P48" i="9" s="1"/>
  <c r="F9" i="32" s="1"/>
  <c r="P29" i="9"/>
  <c r="P30" i="9" s="1"/>
  <c r="Y15" i="9"/>
  <c r="Y17" i="9" s="1"/>
  <c r="Y18" i="9" s="1"/>
  <c r="M31" i="9"/>
  <c r="M32" i="9" s="1"/>
  <c r="M33" i="9" s="1"/>
  <c r="S45" i="9"/>
  <c r="S47" i="9" s="1"/>
  <c r="S48" i="9" s="1"/>
  <c r="F9" i="33" s="1"/>
  <c r="J16" i="9"/>
  <c r="J17" i="9" s="1"/>
  <c r="M29" i="10"/>
  <c r="M30" i="10" s="1"/>
  <c r="AW29" i="10"/>
  <c r="AW30" i="10" s="1"/>
  <c r="M20" i="10"/>
  <c r="M21" i="10" s="1"/>
  <c r="V45" i="9"/>
  <c r="V46" i="9"/>
  <c r="AN20" i="10"/>
  <c r="AN21" i="10" s="1"/>
  <c r="Y45" i="9"/>
  <c r="Y47" i="9" s="1"/>
  <c r="Y48" i="9" s="1"/>
  <c r="S16" i="9"/>
  <c r="S17" i="9" s="1"/>
  <c r="S18" i="9" s="1"/>
  <c r="F28" i="33" s="1"/>
  <c r="P16" i="9"/>
  <c r="P15" i="9"/>
  <c r="J45" i="9"/>
  <c r="C55" i="37"/>
  <c r="G69" i="6"/>
  <c r="C55" i="38"/>
  <c r="H69" i="6"/>
  <c r="M25" i="9"/>
  <c r="M15" i="9"/>
  <c r="M16" i="9"/>
  <c r="C55" i="36"/>
  <c r="F69" i="6"/>
  <c r="V20" i="10"/>
  <c r="V21" i="10" s="1"/>
  <c r="AW20" i="10"/>
  <c r="AW21" i="10" s="1"/>
  <c r="J30" i="9"/>
  <c r="J31" i="9"/>
  <c r="P39" i="9"/>
  <c r="P40" i="9"/>
  <c r="AH9" i="10"/>
  <c r="AH12" i="10" s="1"/>
  <c r="AN4" i="10"/>
  <c r="AN13" i="10" s="1"/>
  <c r="P25" i="9"/>
  <c r="P26" i="9" s="1"/>
  <c r="P27" i="9" s="1"/>
  <c r="AE13" i="10"/>
  <c r="V39" i="9"/>
  <c r="V40" i="9"/>
  <c r="Y25" i="9"/>
  <c r="Y24" i="9"/>
  <c r="J39" i="9"/>
  <c r="Y8" i="9"/>
  <c r="Y7" i="9"/>
  <c r="S8" i="9"/>
  <c r="S7" i="9"/>
  <c r="J7" i="9"/>
  <c r="J8" i="9"/>
  <c r="V25" i="9"/>
  <c r="V26" i="9" s="1"/>
  <c r="V27" i="9" s="1"/>
  <c r="Y40" i="9"/>
  <c r="Y39" i="9"/>
  <c r="J24" i="9"/>
  <c r="J25" i="9"/>
  <c r="M40" i="9"/>
  <c r="M41" i="9" s="1"/>
  <c r="M42" i="9" s="1"/>
  <c r="M9" i="10"/>
  <c r="P13" i="10" s="1"/>
  <c r="C42" i="34" s="1"/>
  <c r="M19" i="10" s="1"/>
  <c r="L6" i="38"/>
  <c r="H8" i="6" s="1"/>
  <c r="H7" i="6"/>
  <c r="L6" i="37"/>
  <c r="G8" i="6" s="1"/>
  <c r="G7" i="6"/>
  <c r="L6" i="36"/>
  <c r="F8" i="6" s="1"/>
  <c r="F7" i="6"/>
  <c r="L6" i="35"/>
  <c r="E8" i="6" s="1"/>
  <c r="E7" i="6"/>
  <c r="L6" i="34"/>
  <c r="D8" i="6" s="1"/>
  <c r="D7" i="6"/>
  <c r="AQ9" i="10"/>
  <c r="AQ12" i="10" s="1"/>
  <c r="AH4" i="10"/>
  <c r="AE12" i="10" s="1"/>
  <c r="B52" i="2"/>
  <c r="B56" i="2"/>
  <c r="B55" i="2"/>
  <c r="B54" i="2"/>
  <c r="B53" i="2"/>
  <c r="O26" i="30"/>
  <c r="O26" i="29"/>
  <c r="F9" i="27" l="1"/>
  <c r="D34" i="6" s="1"/>
  <c r="M26" i="9"/>
  <c r="M27" i="9" s="1"/>
  <c r="F18" i="27" s="1"/>
  <c r="D37" i="6" s="1"/>
  <c r="M9" i="9"/>
  <c r="M10" i="9" s="1"/>
  <c r="C42" i="36"/>
  <c r="C46" i="36" s="1"/>
  <c r="C44" i="36" s="1"/>
  <c r="C48" i="36" s="1"/>
  <c r="C42" i="37"/>
  <c r="C46" i="37" s="1"/>
  <c r="C44" i="37" s="1"/>
  <c r="C48" i="37" s="1"/>
  <c r="AW28" i="10"/>
  <c r="AW31" i="10" s="1"/>
  <c r="AW32" i="10" s="1"/>
  <c r="AW33" i="10" s="1"/>
  <c r="H65" i="6"/>
  <c r="V28" i="10"/>
  <c r="C46" i="35"/>
  <c r="C44" i="35" s="1"/>
  <c r="C48" i="35" s="1"/>
  <c r="C46" i="34"/>
  <c r="C44" i="34" s="1"/>
  <c r="C48" i="34" s="1"/>
  <c r="M28" i="10"/>
  <c r="M31" i="10" s="1"/>
  <c r="M32" i="10" s="1"/>
  <c r="M33" i="10" s="1"/>
  <c r="E62" i="6"/>
  <c r="N28" i="30"/>
  <c r="E63" i="6" s="1"/>
  <c r="D62" i="6"/>
  <c r="N28" i="29"/>
  <c r="D63" i="6" s="1"/>
  <c r="F28" i="39"/>
  <c r="G40" i="6" s="1"/>
  <c r="AW19" i="10"/>
  <c r="AW22" i="10" s="1"/>
  <c r="AW23" i="10" s="1"/>
  <c r="AW24" i="10" s="1"/>
  <c r="H67" i="6"/>
  <c r="P31" i="9"/>
  <c r="P32" i="9" s="1"/>
  <c r="P33" i="9" s="1"/>
  <c r="AE28" i="10"/>
  <c r="AE31" i="10" s="1"/>
  <c r="AE32" i="10" s="1"/>
  <c r="AE33" i="10" s="1"/>
  <c r="E65" i="6"/>
  <c r="S29" i="9"/>
  <c r="V29" i="9" s="1"/>
  <c r="V31" i="9" s="1"/>
  <c r="M17" i="9"/>
  <c r="J32" i="9"/>
  <c r="V22" i="10"/>
  <c r="V23" i="10" s="1"/>
  <c r="V24" i="10" s="1"/>
  <c r="V47" i="9"/>
  <c r="V48" i="9" s="1"/>
  <c r="D65" i="6"/>
  <c r="P17" i="9"/>
  <c r="P18" i="9" s="1"/>
  <c r="F34" i="6"/>
  <c r="J9" i="9"/>
  <c r="J10" i="9" s="1"/>
  <c r="P41" i="9"/>
  <c r="P42" i="9" s="1"/>
  <c r="E34" i="6" s="1"/>
  <c r="J26" i="9"/>
  <c r="Y41" i="9"/>
  <c r="Y42" i="9" s="1"/>
  <c r="F9" i="40" s="1"/>
  <c r="Y9" i="9"/>
  <c r="Y10" i="9" s="1"/>
  <c r="F28" i="40" s="1"/>
  <c r="S9" i="9"/>
  <c r="S10" i="9" s="1"/>
  <c r="F40" i="6" s="1"/>
  <c r="Y26" i="9"/>
  <c r="Y27" i="9" s="1"/>
  <c r="V41" i="9"/>
  <c r="V42" i="9" s="1"/>
  <c r="M22" i="10"/>
  <c r="M23" i="10" s="1"/>
  <c r="M24" i="10" s="1"/>
  <c r="J27" i="10"/>
  <c r="J18" i="10"/>
  <c r="J26" i="10"/>
  <c r="J17" i="10"/>
  <c r="I20" i="9" l="1"/>
  <c r="J27" i="9"/>
  <c r="AE19" i="10"/>
  <c r="AE22" i="10" s="1"/>
  <c r="AE23" i="10" s="1"/>
  <c r="AE24" i="10" s="1"/>
  <c r="H46" i="36" s="1"/>
  <c r="F71" i="6" s="1"/>
  <c r="AN19" i="10"/>
  <c r="AN22" i="10" s="1"/>
  <c r="AN23" i="10" s="1"/>
  <c r="AN24" i="10" s="1"/>
  <c r="G67" i="6"/>
  <c r="G65" i="6"/>
  <c r="AN28" i="10"/>
  <c r="AN31" i="10" s="1"/>
  <c r="AN32" i="10" s="1"/>
  <c r="AN33" i="10" s="1"/>
  <c r="H46" i="34"/>
  <c r="D71" i="6" s="1"/>
  <c r="H46" i="38"/>
  <c r="H71" i="6" s="1"/>
  <c r="H34" i="6"/>
  <c r="F9" i="39"/>
  <c r="G34" i="6" s="1"/>
  <c r="F28" i="32"/>
  <c r="E40" i="6" s="1"/>
  <c r="F18" i="32"/>
  <c r="E37" i="6" s="1"/>
  <c r="F28" i="27"/>
  <c r="D40" i="6" s="1"/>
  <c r="E67" i="6"/>
  <c r="C53" i="34"/>
  <c r="D67" i="6"/>
  <c r="H66" i="6"/>
  <c r="C53" i="38"/>
  <c r="H40" i="6"/>
  <c r="F65" i="6"/>
  <c r="F67" i="6"/>
  <c r="V30" i="9"/>
  <c r="V32" i="9" s="1"/>
  <c r="V33" i="9" s="1"/>
  <c r="S31" i="9"/>
  <c r="Y29" i="9"/>
  <c r="Y30" i="9" s="1"/>
  <c r="S30" i="9"/>
  <c r="C53" i="37"/>
  <c r="G66" i="6"/>
  <c r="C53" i="35"/>
  <c r="J20" i="10"/>
  <c r="J21" i="10" s="1"/>
  <c r="J29" i="10"/>
  <c r="J30" i="10" s="1"/>
  <c r="C56" i="2"/>
  <c r="H46" i="37" l="1"/>
  <c r="G71" i="6" s="1"/>
  <c r="F18" i="39"/>
  <c r="G37" i="6" s="1"/>
  <c r="C54" i="38"/>
  <c r="C52" i="34"/>
  <c r="D66" i="6"/>
  <c r="C52" i="35"/>
  <c r="E66" i="6"/>
  <c r="C52" i="38"/>
  <c r="S32" i="9"/>
  <c r="S33" i="9" s="1"/>
  <c r="C53" i="36"/>
  <c r="Y31" i="9"/>
  <c r="Y32" i="9" s="1"/>
  <c r="Y33" i="9" s="1"/>
  <c r="C52" i="37"/>
  <c r="E68" i="6"/>
  <c r="V30" i="10"/>
  <c r="V31" i="10"/>
  <c r="H38" i="7"/>
  <c r="I7" i="10"/>
  <c r="I4" i="10"/>
  <c r="C14" i="10" s="1"/>
  <c r="F7" i="10"/>
  <c r="F4" i="10"/>
  <c r="C12" i="10" s="1"/>
  <c r="C7" i="10"/>
  <c r="C8" i="10" s="1"/>
  <c r="C9" i="10" s="1"/>
  <c r="F13" i="10" s="1"/>
  <c r="F8" i="10" l="1"/>
  <c r="F9" i="10" s="1"/>
  <c r="F12" i="10" s="1"/>
  <c r="I8" i="10"/>
  <c r="I9" i="10" s="1"/>
  <c r="F14" i="10" s="1"/>
  <c r="F18" i="40"/>
  <c r="H37" i="6" s="1"/>
  <c r="F18" i="33"/>
  <c r="F37" i="6" s="1"/>
  <c r="H68" i="6"/>
  <c r="C54" i="37"/>
  <c r="G68" i="6"/>
  <c r="C54" i="34"/>
  <c r="D68" i="6"/>
  <c r="C52" i="36"/>
  <c r="F66" i="6"/>
  <c r="C54" i="35"/>
  <c r="V32" i="10"/>
  <c r="V33" i="10" s="1"/>
  <c r="H46" i="35" s="1"/>
  <c r="C55" i="2"/>
  <c r="C69" i="6"/>
  <c r="C4" i="10"/>
  <c r="J37" i="9"/>
  <c r="C13" i="10" l="1"/>
  <c r="C42" i="2" s="1"/>
  <c r="C54" i="36"/>
  <c r="F68" i="6"/>
  <c r="J40" i="9"/>
  <c r="J41" i="9" s="1"/>
  <c r="J42" i="9" s="1"/>
  <c r="J46" i="9"/>
  <c r="J47" i="9" s="1"/>
  <c r="E71" i="6"/>
  <c r="C46" i="2" l="1"/>
  <c r="C44" i="2" s="1"/>
  <c r="J19" i="10"/>
  <c r="J22" i="10" s="1"/>
  <c r="J23" i="10" s="1"/>
  <c r="J24" i="10" s="1"/>
  <c r="J28" i="10"/>
  <c r="J31" i="10" s="1"/>
  <c r="J32" i="10" s="1"/>
  <c r="J33" i="10" s="1"/>
  <c r="C65" i="6"/>
  <c r="C53" i="2" l="1"/>
  <c r="C67" i="6"/>
  <c r="C48" i="2"/>
  <c r="C68" i="6" s="1"/>
  <c r="C66" i="6"/>
  <c r="H46" i="2"/>
  <c r="C71" i="6" s="1"/>
  <c r="C52" i="2"/>
  <c r="O26" i="4"/>
  <c r="C62" i="6" l="1"/>
  <c r="N28" i="4"/>
  <c r="C63" i="6" s="1"/>
  <c r="C7" i="6"/>
  <c r="L6" i="2"/>
  <c r="C8" i="6" s="1"/>
  <c r="C54" i="2"/>
  <c r="C19" i="6"/>
  <c r="F9" i="3" l="1"/>
  <c r="F18" i="3"/>
  <c r="F28" i="3"/>
  <c r="C40" i="6" l="1"/>
  <c r="C37" i="6"/>
  <c r="C34" i="6"/>
</calcChain>
</file>

<file path=xl/sharedStrings.xml><?xml version="1.0" encoding="utf-8"?>
<sst xmlns="http://schemas.openxmlformats.org/spreadsheetml/2006/main" count="1226" uniqueCount="239">
  <si>
    <t>Nome</t>
  </si>
  <si>
    <t>Sexo</t>
  </si>
  <si>
    <t>Data de Nascimento</t>
  </si>
  <si>
    <t>Idade</t>
  </si>
  <si>
    <t xml:space="preserve">Frequência </t>
  </si>
  <si>
    <t>Algum médico já disse que você possui algum problema de coração e que só deveria realizar atividades físicas supervisionada por profissionais da saúde?</t>
  </si>
  <si>
    <t>Você sente dores no peito quando pratica atividade física?</t>
  </si>
  <si>
    <t>No último mês, você sentiu dores no peito quando praticava atividade física?</t>
  </si>
  <si>
    <t>Você apresenta desequilíbrio devido a tontura e/ou perda de consciência?</t>
  </si>
  <si>
    <t>Você possui algum problema ósseo ou articular que poderia ser piorado pela atividade física?</t>
  </si>
  <si>
    <t>Você toma atualmente algum medicamento para pressão arterial e/ou problema de coração?</t>
  </si>
  <si>
    <t xml:space="preserve"> Ultimamente sente dores no corpo?</t>
  </si>
  <si>
    <t>Tem ou teve o hábito de fumar?</t>
  </si>
  <si>
    <t>Está em dieta para perder ou ganhar peso?</t>
  </si>
  <si>
    <t>Utiliza algum tipo de medicamento?</t>
  </si>
  <si>
    <t>Sofreu algum acidente ou lesão osteo-muscular?</t>
  </si>
  <si>
    <t>Possui algum tipo de alergia?</t>
  </si>
  <si>
    <t>Foi submetido(a) a algum tipo de cirurgia?</t>
  </si>
  <si>
    <t>Possui alguma restrição a prática de exercícios físicos?</t>
  </si>
  <si>
    <t>Doenças pessoais nos últimos anos.</t>
  </si>
  <si>
    <t>Pratica atualmente algum tipo de exercício físico?</t>
  </si>
  <si>
    <t>IMC</t>
  </si>
  <si>
    <t>1 - Ombro</t>
  </si>
  <si>
    <t>6 - Braço</t>
  </si>
  <si>
    <t>2 - Toráx</t>
  </si>
  <si>
    <t>7 - Antebraço</t>
  </si>
  <si>
    <t>3 - Cintura</t>
  </si>
  <si>
    <t>8 - Coxa</t>
  </si>
  <si>
    <t>4 - Abdômen</t>
  </si>
  <si>
    <t>9 - Panturrilha</t>
  </si>
  <si>
    <t>5 - Quadril</t>
  </si>
  <si>
    <t>Flexão dorsal do tornozelo</t>
  </si>
  <si>
    <t>Flexão plantar do tornozelo</t>
  </si>
  <si>
    <t>Flexão do joelho</t>
  </si>
  <si>
    <t>Flexão de quadril</t>
  </si>
  <si>
    <t>Extensão de quadril</t>
  </si>
  <si>
    <t>Adução de quadril</t>
  </si>
  <si>
    <t>Abdução de quadril</t>
  </si>
  <si>
    <t>Flexão de tronco</t>
  </si>
  <si>
    <t>Extensão de tronco</t>
  </si>
  <si>
    <t>Flexão do punho</t>
  </si>
  <si>
    <t>Extensão do punho</t>
  </si>
  <si>
    <t>Flexão do cotovelo</t>
  </si>
  <si>
    <t xml:space="preserve">Extensão do cotovelo </t>
  </si>
  <si>
    <t xml:space="preserve">Adução posterior do ombro a partir de 180° de abdução </t>
  </si>
  <si>
    <t>Adução posterior ou extensão do ombro</t>
  </si>
  <si>
    <t>Extensão posterior do ombro</t>
  </si>
  <si>
    <t>Rotação lateral do ombro a 90° de abdução do ombro</t>
  </si>
  <si>
    <t>Rotação medial do ombro a 90° de abdução do ombro</t>
  </si>
  <si>
    <t>Resultado</t>
  </si>
  <si>
    <t>Teste de Cooper (12 minutos)</t>
  </si>
  <si>
    <t>Qual atividade?</t>
  </si>
  <si>
    <t xml:space="preserve">Sabe de alguma outra razão pela qual você não deve realizar atividade física? </t>
  </si>
  <si>
    <t>Doenças na família nos últimos anos?</t>
  </si>
  <si>
    <t>Nível</t>
  </si>
  <si>
    <t>Nº de repetições em 60 seg</t>
  </si>
  <si>
    <t>Nº de rep. até a exaustão</t>
  </si>
  <si>
    <t>Flexão Lateral de Tronco</t>
  </si>
  <si>
    <t>Altura (m)</t>
  </si>
  <si>
    <t>Peso Atual (Kg)</t>
  </si>
  <si>
    <t/>
  </si>
  <si>
    <t>Subscapular</t>
  </si>
  <si>
    <t>Tricipital</t>
  </si>
  <si>
    <t>Bicipital</t>
  </si>
  <si>
    <t>Peitoral</t>
  </si>
  <si>
    <t>Axilar-média</t>
  </si>
  <si>
    <t>Supra-ilíaca</t>
  </si>
  <si>
    <t>Abdominal</t>
  </si>
  <si>
    <t>Coxa</t>
  </si>
  <si>
    <t>Panturrilha</t>
  </si>
  <si>
    <t>Soma das Dobras</t>
  </si>
  <si>
    <t>Extensão de joelho</t>
  </si>
  <si>
    <t>Item Avaliado</t>
  </si>
  <si>
    <t>Avaliação 1</t>
  </si>
  <si>
    <t>Avaliação 2</t>
  </si>
  <si>
    <t>Avaliação 3</t>
  </si>
  <si>
    <t>Avaliação 4</t>
  </si>
  <si>
    <t>Avaliação 5</t>
  </si>
  <si>
    <t>Avaliação 6</t>
  </si>
  <si>
    <t>Peso</t>
  </si>
  <si>
    <t>Situação</t>
  </si>
  <si>
    <t>Ombro</t>
  </si>
  <si>
    <t>Toráx</t>
  </si>
  <si>
    <t>Cintura</t>
  </si>
  <si>
    <t>Abdômen</t>
  </si>
  <si>
    <t>Quadril</t>
  </si>
  <si>
    <t>Braço</t>
  </si>
  <si>
    <t>Antebraço</t>
  </si>
  <si>
    <t xml:space="preserve">Resistência Abdominal </t>
  </si>
  <si>
    <t xml:space="preserve">Resistência Bráqui-peitoral </t>
  </si>
  <si>
    <t>FLEXIBILIDADE</t>
  </si>
  <si>
    <t>PERIMETRIA</t>
  </si>
  <si>
    <t>Distância Percorrida</t>
  </si>
  <si>
    <t>HOMENS</t>
  </si>
  <si>
    <t>Nível/ Idade</t>
  </si>
  <si>
    <t>Muito Fraco</t>
  </si>
  <si>
    <t>Fraco</t>
  </si>
  <si>
    <t>Razoável</t>
  </si>
  <si>
    <t>Bom</t>
  </si>
  <si>
    <t>Excelente</t>
  </si>
  <si>
    <t>Superior</t>
  </si>
  <si>
    <t>MULHERES</t>
  </si>
  <si>
    <t>Distância percorrida em 12 min (m)</t>
  </si>
  <si>
    <t>Idade da tabela</t>
  </si>
  <si>
    <t>valor da coluna</t>
  </si>
  <si>
    <t>valor da linha</t>
  </si>
  <si>
    <t>Nível Valor</t>
  </si>
  <si>
    <t>Feminino</t>
  </si>
  <si>
    <t xml:space="preserve">Teste de Cooper </t>
  </si>
  <si>
    <t>Acima da Média</t>
  </si>
  <si>
    <t>Média</t>
  </si>
  <si>
    <t>Abaixo da Média</t>
  </si>
  <si>
    <t xml:space="preserve"> 6 </t>
  </si>
  <si>
    <t xml:space="preserve">Homem- Resistência Bráqui-peitoral </t>
  </si>
  <si>
    <t xml:space="preserve">Mulher- Resistência Bráqui-peitoral </t>
  </si>
  <si>
    <t>Nº de rep</t>
  </si>
  <si>
    <t>47 </t>
  </si>
  <si>
    <t xml:space="preserve">Homem Resistência Abdominal (Pollock e Wilmore, 1993)
</t>
  </si>
  <si>
    <t xml:space="preserve">Mulher Resistência Abdominal (Pollock e Wilmore, 1993)
</t>
  </si>
  <si>
    <t>Jackson e Pollock 7 dobras (18 a 61 anos)</t>
  </si>
  <si>
    <t>Guedes 3 dobras</t>
  </si>
  <si>
    <t>Jackson e Pollock 3 dobras (18 a 61 anos)</t>
  </si>
  <si>
    <t>Soma das Dobras Pollock 7</t>
  </si>
  <si>
    <t>Densidade Corporal</t>
  </si>
  <si>
    <t>%Gordura</t>
  </si>
  <si>
    <t>Masculino</t>
  </si>
  <si>
    <t>Soma das Dobras Pollock 3</t>
  </si>
  <si>
    <t>Masculino- Jackson e Pollock 7 dobras (18 a 61 anos)</t>
  </si>
  <si>
    <t>Feminino- Jackson e Pollock 7 dobras (18 a 61 anos)</t>
  </si>
  <si>
    <t>Masculino- Jackson e Pollock 3 dobras (18 a 61 anos)</t>
  </si>
  <si>
    <t>Feminino- Jackson e Pollock 3 dobras (18 a 61 anos)</t>
  </si>
  <si>
    <t>%</t>
  </si>
  <si>
    <t>Masculino- Guedes 3 dobras</t>
  </si>
  <si>
    <t>Soma das dobras Guedes</t>
  </si>
  <si>
    <t>Feminino- Guedes 3 dobras</t>
  </si>
  <si>
    <t>Protocolo Dobras Cutâneas</t>
  </si>
  <si>
    <t>Gordura atual (%)</t>
  </si>
  <si>
    <t>Massa gorda</t>
  </si>
  <si>
    <t>Massa livre de gordura</t>
  </si>
  <si>
    <t>Massa muscular</t>
  </si>
  <si>
    <t>Massa residual</t>
  </si>
  <si>
    <t>Massa Óssea</t>
  </si>
  <si>
    <t>Classificação % de gordura corporal</t>
  </si>
  <si>
    <t>Nivel / idade</t>
  </si>
  <si>
    <t>Acima da média</t>
  </si>
  <si>
    <t>Abaixo da média</t>
  </si>
  <si>
    <t>Ruim</t>
  </si>
  <si>
    <t>Muito ruim</t>
  </si>
  <si>
    <t>Homens</t>
  </si>
  <si>
    <t>Resultado %</t>
  </si>
  <si>
    <t>M- Jackson e Pollock 7 dobras</t>
  </si>
  <si>
    <t>F - Jackson e Pollock 7 dobras</t>
  </si>
  <si>
    <t>M - Jackson e Pollock 3 dobras</t>
  </si>
  <si>
    <t>F - Jackson e Pollock 3 dobras</t>
  </si>
  <si>
    <t>Gordura Atual (%)</t>
  </si>
  <si>
    <t>Cassif. % de gordura</t>
  </si>
  <si>
    <t>COMPOSIÇÃO CORPORAL</t>
  </si>
  <si>
    <t>Massa Gorda (kg)</t>
  </si>
  <si>
    <t>Massa Livre de gordura (kg)</t>
  </si>
  <si>
    <t>Massa muscular (kg)</t>
  </si>
  <si>
    <t>Massa residual (kg)</t>
  </si>
  <si>
    <t>Massa Óssea (kg)</t>
  </si>
  <si>
    <t>RELATÓRIO DE AVALIAÇÃO FÍSICA</t>
  </si>
  <si>
    <t>Assinatura:</t>
  </si>
  <si>
    <t>DOBRAS CUTÂNEAS</t>
  </si>
  <si>
    <t>Direito</t>
  </si>
  <si>
    <t>Esquerdo</t>
  </si>
  <si>
    <t>RCQ</t>
  </si>
  <si>
    <t>Classificação</t>
  </si>
  <si>
    <t>20 - 29</t>
  </si>
  <si>
    <t>Baixo</t>
  </si>
  <si>
    <t>Moderado</t>
  </si>
  <si>
    <t>Alto</t>
  </si>
  <si>
    <t>Muito alto</t>
  </si>
  <si>
    <t>30 - 39</t>
  </si>
  <si>
    <t>40 -49</t>
  </si>
  <si>
    <t>50 - 59</t>
  </si>
  <si>
    <t>60 - 69</t>
  </si>
  <si>
    <t>Resultado Mas</t>
  </si>
  <si>
    <t>Resultado Fem</t>
  </si>
  <si>
    <t>Classificação RCQ</t>
  </si>
  <si>
    <t>classificação</t>
  </si>
  <si>
    <t>Muito Baixo</t>
  </si>
  <si>
    <t>Médio (-)</t>
  </si>
  <si>
    <t>Médio (+)</t>
  </si>
  <si>
    <t>Grande</t>
  </si>
  <si>
    <t>Muito Grande</t>
  </si>
  <si>
    <t>Flexibiliade</t>
  </si>
  <si>
    <t>Classificação do nível de flexibiliade</t>
  </si>
  <si>
    <t>Classificação do nível de flexibiliade:</t>
  </si>
  <si>
    <t>MULHERES - RCQ</t>
  </si>
  <si>
    <t>HOMENS - RCQ</t>
  </si>
  <si>
    <t>PLANILHA DE AVALIAÇÃO FÍSICA</t>
  </si>
  <si>
    <t>DADOS DO ALUNO</t>
  </si>
  <si>
    <t>INSTRUÇÕES</t>
  </si>
  <si>
    <r>
      <t xml:space="preserve">Preencha o Nome do aluno/paciente, selecione o Sexo e insira a data de nascimento (DD/MM/AAAA). </t>
    </r>
    <r>
      <rPr>
        <b/>
        <u/>
        <sz val="10"/>
        <color theme="1"/>
        <rFont val="Calibri"/>
        <family val="2"/>
        <scheme val="minor"/>
      </rPr>
      <t>O campo Idade contém fórmulas e não deve ser apagado ou editado. O preenchimento dos campos Sexo e Data de Nascimento são obrigatórios, pois fazem parte do cálculo da composição corporal.</t>
    </r>
    <r>
      <rPr>
        <sz val="10"/>
        <color theme="1"/>
        <rFont val="Calibri"/>
        <family val="2"/>
        <scheme val="minor"/>
      </rPr>
      <t xml:space="preserve"> Sem o preenchimento desses campos, a planilha retornará erros nos cálculos de composição corporal.</t>
    </r>
  </si>
  <si>
    <t>INSTRUÇÕES DE USO DA PLANILHA DE AVALIAÇÃO FÍSICA (Leia atentamente antes de utilizar a planilha)</t>
  </si>
  <si>
    <r>
      <t xml:space="preserve">O primeiro passo para realizar a avaliação física é acessar a guia </t>
    </r>
    <r>
      <rPr>
        <b/>
        <sz val="12"/>
        <color rgb="FF042B3F"/>
        <rFont val="Calibri"/>
        <family val="2"/>
        <scheme val="minor"/>
      </rPr>
      <t>Dados do Aluno</t>
    </r>
    <r>
      <rPr>
        <sz val="12"/>
        <color rgb="FF042B3F"/>
        <rFont val="Calibri"/>
        <family val="2"/>
        <scheme val="minor"/>
      </rPr>
      <t xml:space="preserve"> e preencher o Nome, selecionar o </t>
    </r>
    <r>
      <rPr>
        <b/>
        <sz val="12"/>
        <color rgb="FF042B3F"/>
        <rFont val="Calibri"/>
        <family val="2"/>
        <scheme val="minor"/>
      </rPr>
      <t>Sexo</t>
    </r>
    <r>
      <rPr>
        <sz val="12"/>
        <color rgb="FF042B3F"/>
        <rFont val="Calibri"/>
        <family val="2"/>
        <scheme val="minor"/>
      </rPr>
      <t xml:space="preserve"> e inserir a </t>
    </r>
    <r>
      <rPr>
        <b/>
        <sz val="12"/>
        <color rgb="FF042B3F"/>
        <rFont val="Calibri"/>
        <family val="2"/>
        <scheme val="minor"/>
      </rPr>
      <t xml:space="preserve">Data de nascimento </t>
    </r>
    <r>
      <rPr>
        <sz val="12"/>
        <color rgb="FF042B3F"/>
        <rFont val="Calibri"/>
        <family val="2"/>
        <scheme val="minor"/>
      </rPr>
      <t xml:space="preserve">(DD/MM/AAAA). </t>
    </r>
    <r>
      <rPr>
        <b/>
        <u/>
        <sz val="12"/>
        <color rgb="FF042B3F"/>
        <rFont val="Calibri"/>
        <family val="2"/>
        <scheme val="minor"/>
      </rPr>
      <t>O campo Idade contém fórmulas e não deve ser preenchido, apagado ou editado</t>
    </r>
    <r>
      <rPr>
        <sz val="12"/>
        <color rgb="FF042B3F"/>
        <rFont val="Calibri"/>
        <family val="2"/>
        <scheme val="minor"/>
      </rPr>
      <t xml:space="preserve">. </t>
    </r>
    <r>
      <rPr>
        <b/>
        <u/>
        <sz val="12"/>
        <color rgb="FF042B3F"/>
        <rFont val="Calibri"/>
        <family val="2"/>
        <scheme val="minor"/>
      </rPr>
      <t>O preenchimento dos campos Sexo e Data de Nascimento são obrigatórios</t>
    </r>
    <r>
      <rPr>
        <sz val="12"/>
        <color rgb="FF042B3F"/>
        <rFont val="Calibri"/>
        <family val="2"/>
        <scheme val="minor"/>
      </rPr>
      <t>, pois fazem parte do cálculo da composição corporal. Sem o preenchimento desses campos, a planilha retornará erros nos cálculos de composição corporal e IMC.</t>
    </r>
  </si>
  <si>
    <r>
      <t xml:space="preserve">Para realizar a primeira avaliação física, selecione </t>
    </r>
    <r>
      <rPr>
        <b/>
        <sz val="12"/>
        <color rgb="FF042B3F"/>
        <rFont val="Calibri"/>
        <family val="2"/>
        <scheme val="minor"/>
      </rPr>
      <t>Avaliação1</t>
    </r>
    <r>
      <rPr>
        <sz val="12"/>
        <color rgb="FF042B3F"/>
        <rFont val="Calibri"/>
        <family val="2"/>
        <scheme val="minor"/>
      </rPr>
      <t xml:space="preserve"> no menu inicial ou </t>
    </r>
    <r>
      <rPr>
        <b/>
        <sz val="12"/>
        <color rgb="FF042B3F"/>
        <rFont val="Calibri"/>
        <family val="2"/>
        <scheme val="minor"/>
      </rPr>
      <t>Composição Corporal1</t>
    </r>
    <r>
      <rPr>
        <sz val="12"/>
        <color rgb="FF042B3F"/>
        <rFont val="Calibri"/>
        <family val="2"/>
        <scheme val="minor"/>
      </rPr>
      <t xml:space="preserve"> na guia de planilhas. Preencha a data da avaliação, o </t>
    </r>
    <r>
      <rPr>
        <b/>
        <u/>
        <sz val="12"/>
        <color rgb="FF042B3F"/>
        <rFont val="Calibri"/>
        <family val="2"/>
        <scheme val="minor"/>
      </rPr>
      <t xml:space="preserve">peso do aluno em quilos </t>
    </r>
    <r>
      <rPr>
        <sz val="12"/>
        <color rgb="FF042B3F"/>
        <rFont val="Calibri"/>
        <family val="2"/>
        <scheme val="minor"/>
      </rPr>
      <t xml:space="preserve">(exemplo: 74,8) e a </t>
    </r>
    <r>
      <rPr>
        <b/>
        <u/>
        <sz val="12"/>
        <color rgb="FF042B3F"/>
        <rFont val="Calibri"/>
        <family val="2"/>
        <scheme val="minor"/>
      </rPr>
      <t>altura em metros</t>
    </r>
    <r>
      <rPr>
        <sz val="12"/>
        <color rgb="FF042B3F"/>
        <rFont val="Calibri"/>
        <family val="2"/>
        <scheme val="minor"/>
      </rPr>
      <t xml:space="preserve"> (exemplo: 1,75). O preenchimento incorreto desses campos retornará erros ou resultados incorretos no cálculo de IMC e nos demais cálculos da planilha.</t>
    </r>
  </si>
  <si>
    <t>https://youtu.be/5Vs0blN7x7w</t>
  </si>
  <si>
    <r>
      <t xml:space="preserve">A planilha contém 3 Protocolos diferentes para Composição Corporal. </t>
    </r>
    <r>
      <rPr>
        <b/>
        <u/>
        <sz val="12"/>
        <color rgb="FF042B3F"/>
        <rFont val="Calibri"/>
        <family val="2"/>
        <scheme val="minor"/>
      </rPr>
      <t>O conhecimento prévio sobre a diferença entre cada protocolo é de responsabilidade do profissional que fará uso da planilha. Não fornecemos instruções sobre qual protocolo o profissional deverá optar.</t>
    </r>
    <r>
      <rPr>
        <b/>
        <sz val="12"/>
        <color rgb="FF042B3F"/>
        <rFont val="Calibri"/>
        <family val="2"/>
        <scheme val="minor"/>
      </rPr>
      <t xml:space="preserve"> 
</t>
    </r>
    <r>
      <rPr>
        <sz val="12"/>
        <color rgb="FF042B3F"/>
        <rFont val="Calibri"/>
        <family val="2"/>
        <scheme val="minor"/>
      </rPr>
      <t xml:space="preserve">Considere o preenchimento dos campos de Dobras Cutâneas de acordo com os seguintes protocolos:
</t>
    </r>
  </si>
  <si>
    <r>
      <rPr>
        <b/>
        <sz val="12"/>
        <color rgb="FF042B3F"/>
        <rFont val="Calibri"/>
        <family val="2"/>
        <scheme val="minor"/>
      </rPr>
      <t xml:space="preserve">Guedes 3 dobras: </t>
    </r>
    <r>
      <rPr>
        <sz val="12"/>
        <color rgb="FF042B3F"/>
        <rFont val="Calibri"/>
        <family val="2"/>
        <scheme val="minor"/>
      </rPr>
      <t>Preencha as dobras Tricipital, Supra-ilíaca e Adbominal.</t>
    </r>
  </si>
  <si>
    <r>
      <rPr>
        <b/>
        <sz val="12"/>
        <color rgb="FF042B3F"/>
        <rFont val="Calibri"/>
        <family val="2"/>
        <scheme val="minor"/>
      </rPr>
      <t>Jackson e Pollock 3 dobras (18 a 61 anos):</t>
    </r>
    <r>
      <rPr>
        <sz val="12"/>
        <color rgb="FF042B3F"/>
        <rFont val="Calibri"/>
        <family val="2"/>
        <scheme val="minor"/>
      </rPr>
      <t xml:space="preserve"> Preencha as dobras Peitoral, Abdominal e Coxa.</t>
    </r>
  </si>
  <si>
    <r>
      <rPr>
        <b/>
        <sz val="12"/>
        <color rgb="FF042B3F"/>
        <rFont val="Calibri"/>
        <family val="2"/>
        <scheme val="minor"/>
      </rPr>
      <t>Jackson e Pollock 7 dobras (18 a 61 anos):</t>
    </r>
    <r>
      <rPr>
        <sz val="12"/>
        <color rgb="FF042B3F"/>
        <rFont val="Calibri"/>
        <family val="2"/>
        <scheme val="minor"/>
      </rPr>
      <t xml:space="preserve"> Preencha as dobras Subescapular, Tricipital, Peitoral, Axilar média, Suprailíaca, Abdominal e Coxa.</t>
    </r>
  </si>
  <si>
    <r>
      <t xml:space="preserve">Para o preenchimento da Perimetria, utilize uma fita métrica e preencha cada campo conforme imagem ilustrativa ao lado dos campos. </t>
    </r>
    <r>
      <rPr>
        <b/>
        <u/>
        <sz val="12"/>
        <color rgb="FF042B3F"/>
        <rFont val="Calibri"/>
        <family val="2"/>
        <scheme val="minor"/>
      </rPr>
      <t>As medidas de perimetria devem ser preenchidas em centímetros</t>
    </r>
    <r>
      <rPr>
        <sz val="12"/>
        <color rgb="FF042B3F"/>
        <rFont val="Calibri"/>
        <family val="2"/>
        <scheme val="minor"/>
      </rPr>
      <t xml:space="preserve"> (exemplo: 18,5)
</t>
    </r>
    <r>
      <rPr>
        <b/>
        <u/>
        <sz val="12"/>
        <color rgb="FF042B3F"/>
        <rFont val="Calibri"/>
        <family val="2"/>
        <scheme val="minor"/>
      </rPr>
      <t>O Campo RCQ representa o cálculo de Relação Cintura Quadril e não deve ser deletado ou editado assim como o campo de Classificação.</t>
    </r>
  </si>
  <si>
    <t>O preenchimento dos campos de diâmetros ósseos não são obrigatórios (exceto se você deseja obter a composição de massa óssea do aluno. Caso decida preenchê-las, as medidas devem estar em centímetros.</t>
  </si>
  <si>
    <r>
      <t xml:space="preserve">Após o preenchimento de todos os campos mencionados anteriormente, selecione um protocolo no campo </t>
    </r>
    <r>
      <rPr>
        <b/>
        <sz val="12"/>
        <color rgb="FF042B3F"/>
        <rFont val="Calibri"/>
        <family val="2"/>
        <scheme val="minor"/>
      </rPr>
      <t>Protocolo Dobras Cutâneas</t>
    </r>
    <r>
      <rPr>
        <sz val="12"/>
        <color rgb="FF042B3F"/>
        <rFont val="Calibri"/>
        <family val="2"/>
        <scheme val="minor"/>
      </rPr>
      <t>. Novamente, a escolha do protocolo mais adequado é de responsabilidade do profissional que fará uso da planilha.
Ao selecionar o protocolo desejado, a planilha apresentará os resultados para: Gordura atual (%), Massa gorda, Massa livre de Gordura, Massa muscular, Massa residual, Massa Óssea (caso tenha preenchido os diâmetros ósseos) e Classificação % de gordura corporal.</t>
    </r>
  </si>
  <si>
    <t>INFORMAÇÕES IMPORTANTES</t>
  </si>
  <si>
    <r>
      <rPr>
        <b/>
        <u/>
        <sz val="12"/>
        <color rgb="FF042B3F"/>
        <rFont val="Calibri"/>
        <family val="2"/>
        <scheme val="minor"/>
      </rPr>
      <t>A planilha contém fórmulas que não devem ser deletadas</t>
    </r>
    <r>
      <rPr>
        <sz val="12"/>
        <color rgb="FF042B3F"/>
        <rFont val="Calibri"/>
        <family val="2"/>
        <scheme val="minor"/>
      </rPr>
      <t xml:space="preserve">. Qualquer alteração acidental nas fórmulas, recomendamos que baixe a versão original inicialmente adquirida. </t>
    </r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</si>
  <si>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rgb="FF042B3F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sz val="12"/>
        <color rgb="FF042B3F"/>
        <rFont val="Calibri"/>
        <family val="2"/>
        <scheme val="minor"/>
      </rPr>
      <t>.</t>
    </r>
  </si>
  <si>
    <t>Este modelo de Planilha foi desenvolvido e testado no Microsoft Excel para Windows. Não garantimos a compatibilidade com o Excel para MAC, Google Sheets, Excel para celular ou tablet ou qualquer outro software de Planilhas que não seja o Microsoft Excel para Windows.</t>
  </si>
  <si>
    <r>
      <t xml:space="preserve">A Planilha de Avaliação Física é comercializada exclusivamente no site oficial do desenvolvedor. </t>
    </r>
    <r>
      <rPr>
        <b/>
        <u/>
        <sz val="12"/>
        <color rgb="FF042B3F"/>
        <rFont val="Calibri"/>
        <family val="2"/>
        <scheme val="minor"/>
      </rPr>
      <t>A compra deste modelo não lhe garante o direito de comercializá-la ou distribui-la em outros sites. Qualquer violação de direitos autorais, será respondida judicialmente.</t>
    </r>
  </si>
  <si>
    <t>Caso tenha alguma dúvida, basta nos contatar através do e-mail contato@exceleasy.com.br ou através do WhatsApp: +55 (19) 99735-8062</t>
  </si>
  <si>
    <r>
      <rPr>
        <b/>
        <u/>
        <sz val="12"/>
        <color rgb="FF042B3F"/>
        <rFont val="Calibri"/>
        <family val="2"/>
        <scheme val="minor"/>
      </rPr>
      <t xml:space="preserve">Preencha os campos das dobras cutâneas em milímetros (mm) </t>
    </r>
    <r>
      <rPr>
        <sz val="12"/>
        <color rgb="FF042B3F"/>
        <rFont val="Calibri"/>
        <family val="2"/>
        <scheme val="minor"/>
      </rPr>
      <t>conforme conhecimento prévio no assunto. Para efeito de instrução, recomendamos o seguinte vídeo.
(O vídeo não é de nossa autoria).</t>
    </r>
  </si>
  <si>
    <t>Resistência Abdominal (Pollock e Wilmore, 1993)</t>
  </si>
  <si>
    <t>Resistência Bráqui-peitoral (Pollock e Wilmore, 1993)</t>
  </si>
  <si>
    <t>AVALIAÇÃO 1</t>
  </si>
  <si>
    <t>AVALIAÇÃO 2</t>
  </si>
  <si>
    <t>AVALIAÇÃO 3</t>
  </si>
  <si>
    <t>AVALIAÇÃO 4</t>
  </si>
  <si>
    <t>AVALIAÇÃO 5</t>
  </si>
  <si>
    <t>AVALIAÇÃO 6</t>
  </si>
  <si>
    <t>INFORMAÇÕES GERAIS</t>
  </si>
  <si>
    <t>DATA:</t>
  </si>
  <si>
    <t>1. Bi-epicôndilo umeral</t>
  </si>
  <si>
    <t>2. Bi-epicôndilo femural</t>
  </si>
  <si>
    <t>3. Bi-estilóide</t>
  </si>
  <si>
    <t>SEU IMC:</t>
  </si>
  <si>
    <t>1.Bi-epicôndilo umeral</t>
  </si>
  <si>
    <t>DIÂMETROS ÓSSEOS (Cm)</t>
  </si>
  <si>
    <t>PERIMETRIA (Cm)</t>
  </si>
  <si>
    <t>DOBRAS CUTÂNEAS (mm)</t>
  </si>
  <si>
    <t>Data da Avaliação</t>
  </si>
  <si>
    <r>
      <t xml:space="preserve">A planilha tem a capacidade de realizar até 6 avaliações por aluno. </t>
    </r>
    <r>
      <rPr>
        <b/>
        <u/>
        <sz val="12"/>
        <color rgb="FF042B3F"/>
        <rFont val="Calibri"/>
        <family val="2"/>
        <scheme val="minor"/>
      </rPr>
      <t>Não use a mesma planilha (mesmo arquivo) para avaliar vários alunos simultaneamente</t>
    </r>
    <r>
      <rPr>
        <sz val="12"/>
        <color rgb="FF042B3F"/>
        <rFont val="Calibri"/>
        <family val="2"/>
        <scheme val="minor"/>
      </rPr>
      <t>. Para realizar avaliações em alunos diferentes, faça uma cópia do arquivo para cada aluno.</t>
    </r>
  </si>
  <si>
    <t>Hermes Santos</t>
  </si>
  <si>
    <t>Distância Percorrida (metros)</t>
  </si>
  <si>
    <r>
      <t xml:space="preserve">Cada Avalição é composta por: </t>
    </r>
    <r>
      <rPr>
        <b/>
        <sz val="12"/>
        <color rgb="FF042B3F"/>
        <rFont val="Calibri"/>
        <family val="2"/>
        <scheme val="minor"/>
      </rPr>
      <t xml:space="preserve">Composição Corporal, Testes de Força/Resistência/Aeróbico </t>
    </r>
    <r>
      <rPr>
        <sz val="12"/>
        <color rgb="FF042B3F"/>
        <rFont val="Calibri"/>
        <family val="2"/>
        <scheme val="minor"/>
      </rPr>
      <t>e</t>
    </r>
    <r>
      <rPr>
        <b/>
        <sz val="12"/>
        <color rgb="FF042B3F"/>
        <rFont val="Calibri"/>
        <family val="2"/>
        <scheme val="minor"/>
      </rPr>
      <t xml:space="preserve"> Teste de Flexibilidade</t>
    </r>
    <r>
      <rPr>
        <sz val="12"/>
        <color rgb="FF042B3F"/>
        <rFont val="Calibri"/>
        <family val="2"/>
        <scheme val="minor"/>
      </rPr>
      <t xml:space="preserve">. Se for de sua preferência, você poderá utilizar apenas a sessão de Composição Corporal conforme instruções acima.
Para realizar as outras 5 avaliações do mesmo aluno, siga as etapas de 3 a 8. Para obter o progresso do aluno, selecione a guia </t>
    </r>
    <r>
      <rPr>
        <b/>
        <sz val="12"/>
        <color rgb="FF042B3F"/>
        <rFont val="Calibri"/>
        <family val="2"/>
        <scheme val="minor"/>
      </rPr>
      <t>Relatório</t>
    </r>
    <r>
      <rPr>
        <sz val="12"/>
        <color rgb="FF042B3F"/>
        <rFont val="Calibri"/>
        <family val="2"/>
        <scheme val="minor"/>
      </rPr>
      <t xml:space="preserve"> após ter realizado ao menos 2 avaliações.</t>
    </r>
  </si>
  <si>
    <t>Ao abrir o arquivo pela primeira vez, certifique-se de ter habilitado a Planilha para edição. Caso contrário, o Excel não permitirá que seja inserido informações na planilha.</t>
  </si>
  <si>
    <r>
      <rPr>
        <b/>
        <sz val="12"/>
        <color theme="1"/>
        <rFont val="Calibri"/>
        <family val="2"/>
        <scheme val="minor"/>
      </rPr>
      <t>Dica:</t>
    </r>
    <r>
      <rPr>
        <sz val="12"/>
        <color theme="1"/>
        <rFont val="Calibri"/>
        <family val="2"/>
        <scheme val="minor"/>
      </rPr>
      <t xml:space="preserve"> Procure sempre utilizar o mesmo protocolo para as avaliações de seus alunos. A mudança de protocolo entre as avaliações de um aluno, poderá retornar resultados diferentes. Deste modo, recomanda-se manter um padrão em sua escolha.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</si>
</sst>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"/>
    <numFmt numFmtId="166" formatCode="0.0"/>
    <numFmt numFmtId="167" formatCode="0.0\ &quot;kg&quot;"/>
    <numFmt numFmtId="168" formatCode="0.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42B3F"/>
      <name val="Calibri"/>
      <family val="2"/>
      <scheme val="minor"/>
    </font>
    <font>
      <b/>
      <u/>
      <sz val="12"/>
      <color rgb="FF042B3F"/>
      <name val="Calibri"/>
      <family val="2"/>
      <scheme val="minor"/>
    </font>
    <font>
      <b/>
      <sz val="12"/>
      <color rgb="FF042B3F"/>
      <name val="Calibri"/>
      <family val="2"/>
      <scheme val="minor"/>
    </font>
    <font>
      <u/>
      <sz val="12"/>
      <color rgb="FF042B3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1F5EAF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FDEA"/>
        <bgColor indexed="64"/>
      </patternFill>
    </fill>
    <fill>
      <patternFill patternType="solid">
        <fgColor rgb="FF1F5EA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2E7"/>
        <bgColor indexed="64"/>
      </patternFill>
    </fill>
    <fill>
      <patternFill patternType="solid">
        <fgColor rgb="FFFF520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rgb="FF1F5EAF"/>
      </bottom>
      <diagonal/>
    </border>
    <border>
      <left style="thin">
        <color theme="0" tint="-0.14996795556505021"/>
      </left>
      <right/>
      <top style="thick">
        <color rgb="FF1F5EAF"/>
      </top>
      <bottom/>
      <diagonal/>
    </border>
    <border>
      <left/>
      <right/>
      <top style="thick">
        <color rgb="FF1F5EAF"/>
      </top>
      <bottom/>
      <diagonal/>
    </border>
    <border>
      <left/>
      <right style="thin">
        <color theme="0" tint="-0.14996795556505021"/>
      </right>
      <top style="thick">
        <color rgb="FF1F5EAF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EE2E7"/>
      </left>
      <right style="thin">
        <color rgb="FFDEE2E7"/>
      </right>
      <top style="thin">
        <color rgb="FFDEE2E7"/>
      </top>
      <bottom style="thin">
        <color rgb="FFDEE2E7"/>
      </bottom>
      <diagonal/>
    </border>
    <border>
      <left style="thin">
        <color rgb="FFDEE2E7"/>
      </left>
      <right/>
      <top/>
      <bottom/>
      <diagonal/>
    </border>
    <border>
      <left/>
      <right style="thin">
        <color rgb="FFDEE2E7"/>
      </right>
      <top/>
      <bottom/>
      <diagonal/>
    </border>
    <border>
      <left style="thin">
        <color rgb="FFDEE2E7"/>
      </left>
      <right/>
      <top/>
      <bottom style="thin">
        <color rgb="FFDEE2E7"/>
      </bottom>
      <diagonal/>
    </border>
    <border>
      <left/>
      <right/>
      <top/>
      <bottom style="thin">
        <color rgb="FFDEE2E7"/>
      </bottom>
      <diagonal/>
    </border>
    <border>
      <left/>
      <right style="thin">
        <color rgb="FFDEE2E7"/>
      </right>
      <top/>
      <bottom style="thin">
        <color rgb="FFDEE2E7"/>
      </bottom>
      <diagonal/>
    </border>
    <border>
      <left style="thin">
        <color rgb="FFEEEEEE"/>
      </left>
      <right/>
      <top style="thick">
        <color rgb="FF1F5EAF"/>
      </top>
      <bottom/>
      <diagonal/>
    </border>
    <border>
      <left/>
      <right style="thin">
        <color rgb="FFEEEEEE"/>
      </right>
      <top style="thick">
        <color rgb="FF1F5EAF"/>
      </top>
      <bottom/>
      <diagonal/>
    </border>
    <border>
      <left style="thin">
        <color rgb="FFEEEEEE"/>
      </left>
      <right/>
      <top/>
      <bottom/>
      <diagonal/>
    </border>
    <border>
      <left/>
      <right style="thin">
        <color rgb="FFEEEEEE"/>
      </right>
      <top/>
      <bottom/>
      <diagonal/>
    </border>
    <border>
      <left style="thin">
        <color rgb="FFEEEEEE"/>
      </left>
      <right/>
      <top/>
      <bottom style="thin">
        <color rgb="FFEEEEEE"/>
      </bottom>
      <diagonal/>
    </border>
    <border>
      <left/>
      <right/>
      <top/>
      <bottom style="thin">
        <color rgb="FFEEEEEE"/>
      </bottom>
      <diagonal/>
    </border>
    <border>
      <left/>
      <right style="thin">
        <color rgb="FFEEEEEE"/>
      </right>
      <top/>
      <bottom style="thin">
        <color rgb="FFEEEEEE"/>
      </bottom>
      <diagonal/>
    </border>
    <border>
      <left/>
      <right/>
      <top/>
      <bottom style="medium">
        <color rgb="FF1F5EAF"/>
      </bottom>
      <diagonal/>
    </border>
    <border>
      <left style="thin">
        <color rgb="FFDEE2E7"/>
      </left>
      <right/>
      <top style="medium">
        <color rgb="FF1F5EAF"/>
      </top>
      <bottom/>
      <diagonal/>
    </border>
    <border>
      <left/>
      <right/>
      <top style="medium">
        <color rgb="FF1F5EAF"/>
      </top>
      <bottom/>
      <diagonal/>
    </border>
    <border>
      <left/>
      <right style="thin">
        <color rgb="FFDEE2E7"/>
      </right>
      <top style="medium">
        <color rgb="FF1F5EAF"/>
      </top>
      <bottom/>
      <diagonal/>
    </border>
    <border>
      <left/>
      <right/>
      <top style="thin">
        <color rgb="FFDEE2E7"/>
      </top>
      <bottom/>
      <diagonal/>
    </border>
    <border>
      <left style="thin">
        <color rgb="FFDEE2E7"/>
      </left>
      <right/>
      <top style="thin">
        <color rgb="FFDEE2E7"/>
      </top>
      <bottom style="thin">
        <color rgb="FFDEE2E7"/>
      </bottom>
      <diagonal/>
    </border>
    <border>
      <left/>
      <right/>
      <top/>
      <bottom style="thin">
        <color indexed="64"/>
      </bottom>
      <diagonal/>
    </border>
    <border>
      <left style="thin">
        <color rgb="FFDEE2E7"/>
      </left>
      <right/>
      <top style="thick">
        <color rgb="FF1F5EAF"/>
      </top>
      <bottom/>
      <diagonal/>
    </border>
    <border>
      <left/>
      <right style="thin">
        <color rgb="FFDEE2E7"/>
      </right>
      <top style="thick">
        <color rgb="FF1F5EA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F5EAF"/>
      </left>
      <right style="medium">
        <color rgb="FF1F5EAF"/>
      </right>
      <top style="medium">
        <color rgb="FF1F5EAF"/>
      </top>
      <bottom style="medium">
        <color rgb="FF1F5EAF"/>
      </bottom>
      <diagonal/>
    </border>
    <border>
      <left/>
      <right/>
      <top style="thin">
        <color rgb="FFDEE2E7"/>
      </top>
      <bottom style="thin">
        <color rgb="FFDEE2E7"/>
      </bottom>
      <diagonal/>
    </border>
    <border>
      <left/>
      <right style="thin">
        <color rgb="FFDEE2E7"/>
      </right>
      <top style="thin">
        <color rgb="FFDEE2E7"/>
      </top>
      <bottom style="thin">
        <color rgb="FFDEE2E7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1F5EAF"/>
      </left>
      <right/>
      <top style="medium">
        <color rgb="FF1F5EAF"/>
      </top>
      <bottom/>
      <diagonal/>
    </border>
    <border>
      <left/>
      <right style="medium">
        <color rgb="FF1F5EAF"/>
      </right>
      <top style="medium">
        <color rgb="FF1F5EAF"/>
      </top>
      <bottom/>
      <diagonal/>
    </border>
    <border>
      <left style="medium">
        <color rgb="FF1F5EAF"/>
      </left>
      <right/>
      <top/>
      <bottom/>
      <diagonal/>
    </border>
    <border>
      <left/>
      <right style="medium">
        <color rgb="FF1F5EAF"/>
      </right>
      <top/>
      <bottom/>
      <diagonal/>
    </border>
    <border>
      <left style="medium">
        <color rgb="FF1F5EAF"/>
      </left>
      <right/>
      <top/>
      <bottom style="medium">
        <color rgb="FF1F5EAF"/>
      </bottom>
      <diagonal/>
    </border>
    <border>
      <left/>
      <right style="medium">
        <color rgb="FF1F5EAF"/>
      </right>
      <top/>
      <bottom style="medium">
        <color rgb="FF1F5EAF"/>
      </bottom>
      <diagonal/>
    </border>
    <border>
      <left style="medium">
        <color rgb="FF1F5EAF"/>
      </left>
      <right style="medium">
        <color rgb="FF1F5EAF"/>
      </right>
      <top style="medium">
        <color rgb="FF1F5EAF"/>
      </top>
      <bottom/>
      <diagonal/>
    </border>
    <border>
      <left style="medium">
        <color rgb="FF1F5EAF"/>
      </left>
      <right style="medium">
        <color rgb="FF1F5EAF"/>
      </right>
      <top/>
      <bottom/>
      <diagonal/>
    </border>
    <border>
      <left style="medium">
        <color rgb="FF1F5EAF"/>
      </left>
      <right style="medium">
        <color rgb="FF1F5EAF"/>
      </right>
      <top/>
      <bottom style="medium">
        <color rgb="FF1F5EAF"/>
      </bottom>
      <diagonal/>
    </border>
    <border>
      <left style="thin">
        <color rgb="FF1F5EAF"/>
      </left>
      <right style="thin">
        <color rgb="FF1F5EAF"/>
      </right>
      <top style="thin">
        <color rgb="FF1F5EAF"/>
      </top>
      <bottom style="thin">
        <color rgb="FF1F5EAF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ck">
        <color rgb="FF1F5EAF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6" fillId="2" borderId="12" xfId="0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2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right" wrapText="1"/>
    </xf>
    <xf numFmtId="0" fontId="0" fillId="0" borderId="16" xfId="0" applyBorder="1" applyAlignment="1">
      <alignment horizontal="left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29" xfId="0" applyBorder="1"/>
    <xf numFmtId="0" fontId="1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1" fontId="6" fillId="2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0" borderId="0" xfId="0" applyFont="1"/>
    <xf numFmtId="166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" fillId="0" borderId="18" xfId="0" applyFont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7" fillId="0" borderId="20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166" fontId="6" fillId="2" borderId="12" xfId="0" applyNumberFormat="1" applyFont="1" applyFill="1" applyBorder="1" applyAlignment="1" applyProtection="1">
      <alignment horizontal="center"/>
      <protection locked="0"/>
    </xf>
    <xf numFmtId="167" fontId="6" fillId="2" borderId="12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21" xfId="0" applyBorder="1"/>
    <xf numFmtId="0" fontId="6" fillId="0" borderId="20" xfId="0" applyFont="1" applyBorder="1" applyAlignment="1">
      <alignment horizontal="right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14" fillId="0" borderId="0" xfId="0" applyFont="1" applyProtection="1">
      <protection locked="0"/>
    </xf>
    <xf numFmtId="167" fontId="14" fillId="0" borderId="0" xfId="0" applyNumberFormat="1" applyFont="1" applyProtection="1">
      <protection locked="0"/>
    </xf>
    <xf numFmtId="166" fontId="6" fillId="0" borderId="0" xfId="0" applyNumberFormat="1" applyFont="1" applyAlignment="1">
      <alignment horizontal="center"/>
    </xf>
    <xf numFmtId="0" fontId="0" fillId="0" borderId="7" xfId="0" applyBorder="1" applyProtection="1">
      <protection locked="0"/>
    </xf>
    <xf numFmtId="0" fontId="7" fillId="0" borderId="7" xfId="0" applyFont="1" applyBorder="1" applyAlignment="1">
      <alignment horizontal="right"/>
    </xf>
    <xf numFmtId="0" fontId="0" fillId="0" borderId="8" xfId="0" applyBorder="1"/>
    <xf numFmtId="164" fontId="0" fillId="0" borderId="0" xfId="0" applyNumberFormat="1"/>
    <xf numFmtId="0" fontId="21" fillId="0" borderId="7" xfId="0" applyFont="1" applyBorder="1" applyAlignment="1" applyProtection="1">
      <alignment horizontal="right"/>
      <protection locked="0"/>
    </xf>
    <xf numFmtId="0" fontId="0" fillId="0" borderId="35" xfId="0" applyBorder="1"/>
    <xf numFmtId="0" fontId="0" fillId="0" borderId="37" xfId="0" applyBorder="1"/>
    <xf numFmtId="0" fontId="0" fillId="0" borderId="38" xfId="0" applyBorder="1"/>
    <xf numFmtId="2" fontId="0" fillId="0" borderId="0" xfId="0" applyNumberFormat="1"/>
    <xf numFmtId="2" fontId="0" fillId="0" borderId="38" xfId="0" applyNumberFormat="1" applyBorder="1"/>
    <xf numFmtId="165" fontId="0" fillId="0" borderId="0" xfId="0" applyNumberFormat="1"/>
    <xf numFmtId="0" fontId="17" fillId="0" borderId="37" xfId="0" applyFont="1" applyBorder="1"/>
    <xf numFmtId="0" fontId="17" fillId="0" borderId="39" xfId="0" applyFont="1" applyBorder="1"/>
    <xf numFmtId="2" fontId="0" fillId="0" borderId="40" xfId="0" applyNumberFormat="1" applyBorder="1"/>
    <xf numFmtId="0" fontId="0" fillId="0" borderId="40" xfId="0" applyBorder="1"/>
    <xf numFmtId="0" fontId="17" fillId="0" borderId="40" xfId="0" applyFont="1" applyBorder="1"/>
    <xf numFmtId="0" fontId="0" fillId="0" borderId="41" xfId="0" applyBorder="1"/>
    <xf numFmtId="0" fontId="5" fillId="3" borderId="42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39" xfId="0" applyBorder="1"/>
    <xf numFmtId="0" fontId="22" fillId="0" borderId="38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1" xfId="0" applyBorder="1"/>
    <xf numFmtId="0" fontId="9" fillId="2" borderId="12" xfId="0" applyFont="1" applyFill="1" applyBorder="1" applyAlignment="1" applyProtection="1">
      <alignment horizontal="center" vertical="center"/>
      <protection locked="0"/>
    </xf>
    <xf numFmtId="14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/>
    <xf numFmtId="1" fontId="9" fillId="2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quotePrefix="1" applyBorder="1"/>
    <xf numFmtId="2" fontId="6" fillId="2" borderId="12" xfId="0" quotePrefix="1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0" fontId="19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4" fillId="3" borderId="0" xfId="0" applyFont="1" applyFill="1"/>
    <xf numFmtId="0" fontId="14" fillId="0" borderId="0" xfId="0" applyFont="1"/>
    <xf numFmtId="0" fontId="10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7" fillId="0" borderId="0" xfId="0" applyFont="1"/>
    <xf numFmtId="0" fontId="27" fillId="0" borderId="0" xfId="0" applyFont="1" applyAlignment="1">
      <alignment horizontal="left"/>
    </xf>
    <xf numFmtId="0" fontId="33" fillId="2" borderId="25" xfId="0" applyFont="1" applyFill="1" applyBorder="1" applyAlignment="1">
      <alignment vertical="top"/>
    </xf>
    <xf numFmtId="0" fontId="27" fillId="2" borderId="59" xfId="0" applyFont="1" applyFill="1" applyBorder="1"/>
    <xf numFmtId="0" fontId="33" fillId="2" borderId="0" xfId="0" applyFont="1" applyFill="1" applyAlignment="1">
      <alignment vertical="top"/>
    </xf>
    <xf numFmtId="0" fontId="27" fillId="2" borderId="57" xfId="0" applyFont="1" applyFill="1" applyBorder="1"/>
    <xf numFmtId="0" fontId="19" fillId="3" borderId="43" xfId="0" applyFont="1" applyFill="1" applyBorder="1" applyAlignment="1">
      <alignment horizontal="center" vertical="center"/>
    </xf>
    <xf numFmtId="0" fontId="37" fillId="3" borderId="63" xfId="0" applyFont="1" applyFill="1" applyBorder="1" applyAlignment="1" applyProtection="1">
      <alignment horizontal="center" vertical="center"/>
      <protection locked="0"/>
    </xf>
    <xf numFmtId="0" fontId="0" fillId="0" borderId="64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66" xfId="0" applyBorder="1" applyProtection="1"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40" fillId="0" borderId="5" xfId="0" applyFont="1" applyBorder="1" applyProtection="1">
      <protection locked="0"/>
    </xf>
    <xf numFmtId="0" fontId="40" fillId="0" borderId="10" xfId="0" applyFont="1" applyBorder="1" applyProtection="1">
      <protection locked="0"/>
    </xf>
    <xf numFmtId="2" fontId="10" fillId="0" borderId="0" xfId="0" applyNumberFormat="1" applyFont="1" applyAlignment="1" applyProtection="1">
      <alignment vertical="center"/>
      <protection locked="0"/>
    </xf>
    <xf numFmtId="0" fontId="0" fillId="3" borderId="0" xfId="0" applyFill="1"/>
    <xf numFmtId="0" fontId="5" fillId="3" borderId="12" xfId="0" applyFont="1" applyFill="1" applyBorder="1" applyAlignment="1">
      <alignment horizontal="right" vertical="center"/>
    </xf>
    <xf numFmtId="14" fontId="1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2" fontId="1" fillId="0" borderId="12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right" vertical="center" wrapText="1"/>
    </xf>
    <xf numFmtId="2" fontId="1" fillId="0" borderId="30" xfId="0" applyNumberFormat="1" applyFont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66" fontId="0" fillId="0" borderId="12" xfId="1" applyNumberFormat="1" applyFont="1" applyFill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9" fillId="3" borderId="60" xfId="0" applyFont="1" applyFill="1" applyBorder="1" applyAlignment="1">
      <alignment horizontal="center" vertical="center"/>
    </xf>
    <xf numFmtId="0" fontId="19" fillId="3" borderId="62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center" wrapText="1"/>
    </xf>
    <xf numFmtId="0" fontId="33" fillId="2" borderId="62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19" fillId="3" borderId="61" xfId="0" applyFont="1" applyFill="1" applyBorder="1" applyAlignment="1">
      <alignment horizontal="center" vertical="center"/>
    </xf>
    <xf numFmtId="0" fontId="33" fillId="2" borderId="54" xfId="0" applyFont="1" applyFill="1" applyBorder="1" applyAlignment="1">
      <alignment horizontal="left" vertical="center" wrapText="1"/>
    </xf>
    <xf numFmtId="0" fontId="33" fillId="2" borderId="2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left" vertical="center" wrapText="1"/>
    </xf>
    <xf numFmtId="0" fontId="33" fillId="2" borderId="56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57" xfId="0" applyFont="1" applyFill="1" applyBorder="1" applyAlignment="1">
      <alignment horizontal="left" vertical="center" wrapText="1"/>
    </xf>
    <xf numFmtId="0" fontId="33" fillId="2" borderId="58" xfId="0" applyFont="1" applyFill="1" applyBorder="1" applyAlignment="1">
      <alignment horizontal="left" vertical="center" wrapText="1"/>
    </xf>
    <xf numFmtId="0" fontId="33" fillId="2" borderId="25" xfId="0" applyFont="1" applyFill="1" applyBorder="1" applyAlignment="1">
      <alignment horizontal="left" vertical="center" wrapText="1"/>
    </xf>
    <xf numFmtId="0" fontId="33" fillId="2" borderId="59" xfId="0" applyFont="1" applyFill="1" applyBorder="1" applyAlignment="1">
      <alignment horizontal="left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left" vertical="top" wrapText="1"/>
    </xf>
    <xf numFmtId="0" fontId="33" fillId="2" borderId="55" xfId="0" applyFont="1" applyFill="1" applyBorder="1" applyAlignment="1">
      <alignment horizontal="left" vertical="top" wrapText="1"/>
    </xf>
    <xf numFmtId="0" fontId="36" fillId="2" borderId="25" xfId="2" applyFont="1" applyFill="1" applyBorder="1" applyAlignment="1">
      <alignment horizontal="left" vertical="top"/>
    </xf>
    <xf numFmtId="0" fontId="33" fillId="2" borderId="0" xfId="0" applyFont="1" applyFill="1" applyAlignment="1">
      <alignment horizontal="left" vertical="top"/>
    </xf>
    <xf numFmtId="0" fontId="27" fillId="2" borderId="58" xfId="0" applyFont="1" applyFill="1" applyBorder="1" applyAlignment="1">
      <alignment horizontal="left" vertical="center" wrapText="1"/>
    </xf>
    <xf numFmtId="0" fontId="27" fillId="2" borderId="25" xfId="0" applyFont="1" applyFill="1" applyBorder="1" applyAlignment="1">
      <alignment horizontal="left" vertical="center" wrapText="1"/>
    </xf>
    <xf numFmtId="0" fontId="27" fillId="2" borderId="59" xfId="0" applyFont="1" applyFill="1" applyBorder="1" applyAlignment="1">
      <alignment horizontal="left" vertical="center" wrapText="1"/>
    </xf>
    <xf numFmtId="0" fontId="33" fillId="2" borderId="61" xfId="0" applyFont="1" applyFill="1" applyBorder="1" applyAlignment="1">
      <alignment horizontal="left" vertical="center" wrapText="1"/>
    </xf>
    <xf numFmtId="0" fontId="33" fillId="2" borderId="60" xfId="0" applyFont="1" applyFill="1" applyBorder="1" applyAlignment="1">
      <alignment horizontal="left" vertical="center"/>
    </xf>
    <xf numFmtId="0" fontId="33" fillId="2" borderId="61" xfId="0" applyFont="1" applyFill="1" applyBorder="1" applyAlignment="1">
      <alignment horizontal="left" vertical="center"/>
    </xf>
    <xf numFmtId="0" fontId="33" fillId="2" borderId="62" xfId="0" applyFont="1" applyFill="1" applyBorder="1" applyAlignment="1">
      <alignment horizontal="left" vertical="center"/>
    </xf>
    <xf numFmtId="0" fontId="33" fillId="2" borderId="43" xfId="0" applyFont="1" applyFill="1" applyBorder="1" applyAlignment="1">
      <alignment horizontal="left" vertical="center"/>
    </xf>
    <xf numFmtId="0" fontId="19" fillId="3" borderId="2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0" fillId="0" borderId="16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9" fillId="3" borderId="31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Alignment="1">
      <alignment horizontal="left"/>
    </xf>
    <xf numFmtId="0" fontId="14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44" xfId="0" applyFont="1" applyFill="1" applyBorder="1" applyAlignment="1" applyProtection="1">
      <alignment horizontal="center"/>
      <protection locked="0"/>
    </xf>
    <xf numFmtId="0" fontId="6" fillId="2" borderId="45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right"/>
      <protection locked="0"/>
    </xf>
    <xf numFmtId="0" fontId="7" fillId="0" borderId="14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25" fillId="3" borderId="3" xfId="0" applyFont="1" applyFill="1" applyBorder="1" applyAlignment="1" applyProtection="1">
      <alignment horizontal="left" vertical="center"/>
      <protection locked="0"/>
    </xf>
    <xf numFmtId="0" fontId="20" fillId="5" borderId="67" xfId="0" applyFont="1" applyFill="1" applyBorder="1" applyAlignment="1" applyProtection="1">
      <alignment horizontal="center"/>
      <protection locked="0"/>
    </xf>
    <xf numFmtId="0" fontId="20" fillId="5" borderId="68" xfId="0" applyFont="1" applyFill="1" applyBorder="1" applyAlignment="1" applyProtection="1">
      <alignment horizontal="center"/>
      <protection locked="0"/>
    </xf>
    <xf numFmtId="0" fontId="20" fillId="5" borderId="69" xfId="0" applyFont="1" applyFill="1" applyBorder="1" applyAlignment="1" applyProtection="1">
      <alignment horizontal="center"/>
      <protection locked="0"/>
    </xf>
    <xf numFmtId="0" fontId="25" fillId="3" borderId="3" xfId="0" applyFont="1" applyFill="1" applyBorder="1" applyAlignment="1" applyProtection="1">
      <alignment horizontal="left"/>
      <protection locked="0"/>
    </xf>
    <xf numFmtId="0" fontId="39" fillId="3" borderId="63" xfId="0" applyFont="1" applyFill="1" applyBorder="1" applyAlignment="1" applyProtection="1">
      <alignment horizontal="center" vertical="center"/>
      <protection locked="0"/>
    </xf>
    <xf numFmtId="14" fontId="8" fillId="2" borderId="63" xfId="0" applyNumberFormat="1" applyFont="1" applyFill="1" applyBorder="1" applyAlignment="1" applyProtection="1">
      <alignment horizontal="center" vertical="center"/>
      <protection locked="0"/>
    </xf>
    <xf numFmtId="0" fontId="41" fillId="3" borderId="0" xfId="0" quotePrefix="1" applyFont="1" applyFill="1" applyAlignment="1" applyProtection="1">
      <alignment horizontal="center" vertical="center"/>
      <protection locked="0"/>
    </xf>
    <xf numFmtId="2" fontId="10" fillId="6" borderId="0" xfId="0" applyNumberFormat="1" applyFont="1" applyFill="1" applyAlignment="1" applyProtection="1">
      <alignment horizontal="center" vertical="center"/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right"/>
      <protection locked="0"/>
    </xf>
    <xf numFmtId="0" fontId="21" fillId="0" borderId="14" xfId="0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0" fontId="39" fillId="3" borderId="0" xfId="0" applyFont="1" applyFill="1" applyAlignment="1">
      <alignment horizontal="center" vertical="center"/>
    </xf>
    <xf numFmtId="0" fontId="12" fillId="0" borderId="0" xfId="0" applyFont="1" applyAlignment="1">
      <alignment horizontal="right"/>
    </xf>
    <xf numFmtId="0" fontId="38" fillId="3" borderId="25" xfId="0" applyFont="1" applyFill="1" applyBorder="1" applyAlignment="1">
      <alignment horizontal="left"/>
    </xf>
    <xf numFmtId="0" fontId="10" fillId="3" borderId="25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F5EAF"/>
      <color rgb="FFFF5202"/>
      <color rgb="FFEBFDEA"/>
      <color rgb="FFDEE2E7"/>
      <color rgb="FFF7F7F7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0-47D7-B6B9-51CA4A9809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0-47D7-B6B9-51CA4A9809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0-47D7-B6B9-51CA4A9809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F0-47D7-B6B9-51CA4A9809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F0-47D7-B6B9-51CA4A9809AA}"/>
              </c:ext>
            </c:extLst>
          </c:dPt>
          <c:dLbls>
            <c:dLbl>
              <c:idx val="0"/>
              <c:layout>
                <c:manualLayout>
                  <c:x val="8.2437299251347407E-2"/>
                  <c:y val="-0.12880140693656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F0-47D7-B6B9-51CA4A9809AA}"/>
                </c:ext>
              </c:extLst>
            </c:dLbl>
            <c:dLbl>
              <c:idx val="1"/>
              <c:layout>
                <c:manualLayout>
                  <c:x val="7.5268838446882341E-2"/>
                  <c:y val="0.21466901156094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F0-47D7-B6B9-51CA4A9809AA}"/>
                </c:ext>
              </c:extLst>
            </c:dLbl>
            <c:dLbl>
              <c:idx val="2"/>
              <c:layout>
                <c:manualLayout>
                  <c:x val="-0.11827960327367236"/>
                  <c:y val="0.1240309844574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F0-47D7-B6B9-51CA4A9809AA}"/>
                </c:ext>
              </c:extLst>
            </c:dLbl>
            <c:dLbl>
              <c:idx val="3"/>
              <c:layout>
                <c:manualLayout>
                  <c:x val="-9.3189990458044894E-2"/>
                  <c:y val="-4.770422479132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F0-47D7-B6B9-51CA4A9809AA}"/>
                </c:ext>
              </c:extLst>
            </c:dLbl>
            <c:dLbl>
              <c:idx val="4"/>
              <c:layout>
                <c:manualLayout>
                  <c:x val="-0.12544806407813736"/>
                  <c:y val="-0.10494929454090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F0-47D7-B6B9-51CA4A980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'Composição Corporal1'!$B$52:$B$56</c:f>
              <c:strCache>
                <c:ptCount val="5"/>
                <c:pt idx="0">
                  <c:v>Massa gorda</c:v>
                </c:pt>
                <c:pt idx="1">
                  <c:v>Massa livre de gordura</c:v>
                </c:pt>
                <c:pt idx="2">
                  <c:v>Massa muscular</c:v>
                </c:pt>
                <c:pt idx="3">
                  <c:v>Massa residual</c:v>
                </c:pt>
                <c:pt idx="4">
                  <c:v>Massa Óssea</c:v>
                </c:pt>
              </c:strCache>
            </c:strRef>
          </c:cat>
          <c:val>
            <c:numRef>
              <c:f>'Composição Corporal1'!$C$52:$C$56</c:f>
              <c:numCache>
                <c:formatCode>0.0\ "kg"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F0-47D7-B6B9-51CA4A980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7E-4208-81D0-DBA58F5ADF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7E-4208-81D0-DBA58F5ADF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7E-4208-81D0-DBA58F5ADF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7E-4208-81D0-DBA58F5ADF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7E-4208-81D0-DBA58F5ADFD8}"/>
              </c:ext>
            </c:extLst>
          </c:dPt>
          <c:dLbls>
            <c:dLbl>
              <c:idx val="0"/>
              <c:layout>
                <c:manualLayout>
                  <c:x val="8.2437299251347407E-2"/>
                  <c:y val="-0.12880140693656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E-4208-81D0-DBA58F5ADFD8}"/>
                </c:ext>
              </c:extLst>
            </c:dLbl>
            <c:dLbl>
              <c:idx val="1"/>
              <c:layout>
                <c:manualLayout>
                  <c:x val="7.5268838446882341E-2"/>
                  <c:y val="0.21466901156094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7E-4208-81D0-DBA58F5ADFD8}"/>
                </c:ext>
              </c:extLst>
            </c:dLbl>
            <c:dLbl>
              <c:idx val="2"/>
              <c:layout>
                <c:manualLayout>
                  <c:x val="-0.11827960327367236"/>
                  <c:y val="0.1240309844574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E-4208-81D0-DBA58F5ADFD8}"/>
                </c:ext>
              </c:extLst>
            </c:dLbl>
            <c:dLbl>
              <c:idx val="3"/>
              <c:layout>
                <c:manualLayout>
                  <c:x val="-9.3189990458044894E-2"/>
                  <c:y val="-4.770422479132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E-4208-81D0-DBA58F5ADFD8}"/>
                </c:ext>
              </c:extLst>
            </c:dLbl>
            <c:dLbl>
              <c:idx val="4"/>
              <c:layout>
                <c:manualLayout>
                  <c:x val="-0.12544806407813736"/>
                  <c:y val="-0.10494929454090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7E-4208-81D0-DBA58F5AD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'Composição Corporal2'!$B$52:$B$56</c:f>
              <c:strCache>
                <c:ptCount val="5"/>
                <c:pt idx="0">
                  <c:v>Massa gorda</c:v>
                </c:pt>
                <c:pt idx="1">
                  <c:v>Massa livre de gordura</c:v>
                </c:pt>
                <c:pt idx="2">
                  <c:v>Massa muscular</c:v>
                </c:pt>
                <c:pt idx="3">
                  <c:v>Massa residual</c:v>
                </c:pt>
                <c:pt idx="4">
                  <c:v>Massa Óssea</c:v>
                </c:pt>
              </c:strCache>
            </c:strRef>
          </c:cat>
          <c:val>
            <c:numRef>
              <c:f>'Composição Corporal2'!$C$52:$C$56</c:f>
              <c:numCache>
                <c:formatCode>0.0\ "kg"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7E-4208-81D0-DBA58F5AD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A5-463F-BF9E-3E0B976373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A5-463F-BF9E-3E0B976373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A5-463F-BF9E-3E0B976373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A5-463F-BF9E-3E0B976373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A5-463F-BF9E-3E0B9763735D}"/>
              </c:ext>
            </c:extLst>
          </c:dPt>
          <c:dLbls>
            <c:dLbl>
              <c:idx val="0"/>
              <c:layout>
                <c:manualLayout>
                  <c:x val="8.2437299251347407E-2"/>
                  <c:y val="-0.12880140693656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5-463F-BF9E-3E0B9763735D}"/>
                </c:ext>
              </c:extLst>
            </c:dLbl>
            <c:dLbl>
              <c:idx val="1"/>
              <c:layout>
                <c:manualLayout>
                  <c:x val="7.5268838446882341E-2"/>
                  <c:y val="0.21466901156094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5-463F-BF9E-3E0B9763735D}"/>
                </c:ext>
              </c:extLst>
            </c:dLbl>
            <c:dLbl>
              <c:idx val="2"/>
              <c:layout>
                <c:manualLayout>
                  <c:x val="-0.11827960327367236"/>
                  <c:y val="0.1240309844574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5-463F-BF9E-3E0B9763735D}"/>
                </c:ext>
              </c:extLst>
            </c:dLbl>
            <c:dLbl>
              <c:idx val="3"/>
              <c:layout>
                <c:manualLayout>
                  <c:x val="-9.3189990458044894E-2"/>
                  <c:y val="-4.770422479132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A5-463F-BF9E-3E0B9763735D}"/>
                </c:ext>
              </c:extLst>
            </c:dLbl>
            <c:dLbl>
              <c:idx val="4"/>
              <c:layout>
                <c:manualLayout>
                  <c:x val="-0.12544806407813736"/>
                  <c:y val="-0.10494929454090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A5-463F-BF9E-3E0B97637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'Composição Corporal3'!$B$52:$B$56</c:f>
              <c:strCache>
                <c:ptCount val="5"/>
                <c:pt idx="0">
                  <c:v>Massa gorda</c:v>
                </c:pt>
                <c:pt idx="1">
                  <c:v>Massa livre de gordura</c:v>
                </c:pt>
                <c:pt idx="2">
                  <c:v>Massa muscular</c:v>
                </c:pt>
                <c:pt idx="3">
                  <c:v>Massa residual</c:v>
                </c:pt>
                <c:pt idx="4">
                  <c:v>Massa Óssea</c:v>
                </c:pt>
              </c:strCache>
            </c:strRef>
          </c:cat>
          <c:val>
            <c:numRef>
              <c:f>'Composição Corporal3'!$C$52:$C$56</c:f>
              <c:numCache>
                <c:formatCode>0.0\ "kg"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A5-463F-BF9E-3E0B97637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70881396295946086"/>
          <c:y val="0.14951245762168908"/>
          <c:w val="0.2802358008344597"/>
          <c:h val="0.700975084756621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25-494B-AC99-39DBC6BE9C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25-494B-AC99-39DBC6BE9C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25-494B-AC99-39DBC6BE9C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25-494B-AC99-39DBC6BE9C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25-494B-AC99-39DBC6BE9C8B}"/>
              </c:ext>
            </c:extLst>
          </c:dPt>
          <c:dLbls>
            <c:dLbl>
              <c:idx val="0"/>
              <c:layout>
                <c:manualLayout>
                  <c:x val="8.2437299251347407E-2"/>
                  <c:y val="-0.12880140693656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25-494B-AC99-39DBC6BE9C8B}"/>
                </c:ext>
              </c:extLst>
            </c:dLbl>
            <c:dLbl>
              <c:idx val="1"/>
              <c:layout>
                <c:manualLayout>
                  <c:x val="7.5268838446882341E-2"/>
                  <c:y val="0.21466901156094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25-494B-AC99-39DBC6BE9C8B}"/>
                </c:ext>
              </c:extLst>
            </c:dLbl>
            <c:dLbl>
              <c:idx val="2"/>
              <c:layout>
                <c:manualLayout>
                  <c:x val="-0.11827960327367236"/>
                  <c:y val="0.1240309844574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25-494B-AC99-39DBC6BE9C8B}"/>
                </c:ext>
              </c:extLst>
            </c:dLbl>
            <c:dLbl>
              <c:idx val="3"/>
              <c:layout>
                <c:manualLayout>
                  <c:x val="-9.3189990458044894E-2"/>
                  <c:y val="-4.770422479132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25-494B-AC99-39DBC6BE9C8B}"/>
                </c:ext>
              </c:extLst>
            </c:dLbl>
            <c:dLbl>
              <c:idx val="4"/>
              <c:layout>
                <c:manualLayout>
                  <c:x val="-0.12544806407813736"/>
                  <c:y val="-0.10494929454090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25-494B-AC99-39DBC6BE9C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'Composição Corporal4'!$B$52:$B$56</c:f>
              <c:strCache>
                <c:ptCount val="5"/>
                <c:pt idx="0">
                  <c:v>Massa gorda</c:v>
                </c:pt>
                <c:pt idx="1">
                  <c:v>Massa livre de gordura</c:v>
                </c:pt>
                <c:pt idx="2">
                  <c:v>Massa muscular</c:v>
                </c:pt>
                <c:pt idx="3">
                  <c:v>Massa residual</c:v>
                </c:pt>
                <c:pt idx="4">
                  <c:v>Massa Óssea</c:v>
                </c:pt>
              </c:strCache>
            </c:strRef>
          </c:cat>
          <c:val>
            <c:numRef>
              <c:f>'Composição Corporal4'!$C$52:$C$56</c:f>
              <c:numCache>
                <c:formatCode>0.0\ "kg"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25-494B-AC99-39DBC6BE9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86-4F31-96A3-926155DED4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86-4F31-96A3-926155DED4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86-4F31-96A3-926155DED4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86-4F31-96A3-926155DED4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86-4F31-96A3-926155DED44C}"/>
              </c:ext>
            </c:extLst>
          </c:dPt>
          <c:dLbls>
            <c:dLbl>
              <c:idx val="0"/>
              <c:layout>
                <c:manualLayout>
                  <c:x val="8.2437299251347407E-2"/>
                  <c:y val="-0.12880140693656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86-4F31-96A3-926155DED44C}"/>
                </c:ext>
              </c:extLst>
            </c:dLbl>
            <c:dLbl>
              <c:idx val="1"/>
              <c:layout>
                <c:manualLayout>
                  <c:x val="7.5268838446882341E-2"/>
                  <c:y val="0.21466901156094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86-4F31-96A3-926155DED44C}"/>
                </c:ext>
              </c:extLst>
            </c:dLbl>
            <c:dLbl>
              <c:idx val="2"/>
              <c:layout>
                <c:manualLayout>
                  <c:x val="-0.11827960327367236"/>
                  <c:y val="0.1240309844574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86-4F31-96A3-926155DED44C}"/>
                </c:ext>
              </c:extLst>
            </c:dLbl>
            <c:dLbl>
              <c:idx val="3"/>
              <c:layout>
                <c:manualLayout>
                  <c:x val="-9.3189990458044894E-2"/>
                  <c:y val="-4.770422479132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86-4F31-96A3-926155DED44C}"/>
                </c:ext>
              </c:extLst>
            </c:dLbl>
            <c:dLbl>
              <c:idx val="4"/>
              <c:layout>
                <c:manualLayout>
                  <c:x val="-0.12544806407813736"/>
                  <c:y val="-0.10494929454090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86-4F31-96A3-926155DED4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'Composição Corporal5'!$B$52:$B$56</c:f>
              <c:strCache>
                <c:ptCount val="5"/>
                <c:pt idx="0">
                  <c:v>Massa gorda</c:v>
                </c:pt>
                <c:pt idx="1">
                  <c:v>Massa livre de gordura</c:v>
                </c:pt>
                <c:pt idx="2">
                  <c:v>Massa muscular</c:v>
                </c:pt>
                <c:pt idx="3">
                  <c:v>Massa residual</c:v>
                </c:pt>
                <c:pt idx="4">
                  <c:v>Massa Óssea</c:v>
                </c:pt>
              </c:strCache>
            </c:strRef>
          </c:cat>
          <c:val>
            <c:numRef>
              <c:f>'Composição Corporal5'!$C$52:$C$56</c:f>
              <c:numCache>
                <c:formatCode>0.0\ "kg"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86-4F31-96A3-926155DED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59-4E6F-990A-F8566B3451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59-4E6F-990A-F8566B345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59-4E6F-990A-F8566B345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59-4E6F-990A-F8566B345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59-4E6F-990A-F8566B34516B}"/>
              </c:ext>
            </c:extLst>
          </c:dPt>
          <c:dLbls>
            <c:dLbl>
              <c:idx val="0"/>
              <c:layout>
                <c:manualLayout>
                  <c:x val="8.2437299251347407E-2"/>
                  <c:y val="-0.12880140693656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59-4E6F-990A-F8566B34516B}"/>
                </c:ext>
              </c:extLst>
            </c:dLbl>
            <c:dLbl>
              <c:idx val="1"/>
              <c:layout>
                <c:manualLayout>
                  <c:x val="7.5268838446882341E-2"/>
                  <c:y val="0.21466901156094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59-4E6F-990A-F8566B34516B}"/>
                </c:ext>
              </c:extLst>
            </c:dLbl>
            <c:dLbl>
              <c:idx val="2"/>
              <c:layout>
                <c:manualLayout>
                  <c:x val="-0.11827960327367236"/>
                  <c:y val="0.1240309844574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59-4E6F-990A-F8566B34516B}"/>
                </c:ext>
              </c:extLst>
            </c:dLbl>
            <c:dLbl>
              <c:idx val="3"/>
              <c:layout>
                <c:manualLayout>
                  <c:x val="-9.3189990458044894E-2"/>
                  <c:y val="-4.770422479132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59-4E6F-990A-F8566B34516B}"/>
                </c:ext>
              </c:extLst>
            </c:dLbl>
            <c:dLbl>
              <c:idx val="4"/>
              <c:layout>
                <c:manualLayout>
                  <c:x val="-0.12544806407813736"/>
                  <c:y val="-0.104949294540908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59-4E6F-990A-F8566B345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'Composição Corporal6'!$B$52:$B$56</c:f>
              <c:strCache>
                <c:ptCount val="5"/>
                <c:pt idx="0">
                  <c:v>Massa gorda</c:v>
                </c:pt>
                <c:pt idx="1">
                  <c:v>Massa livre de gordura</c:v>
                </c:pt>
                <c:pt idx="2">
                  <c:v>Massa muscular</c:v>
                </c:pt>
                <c:pt idx="3">
                  <c:v>Massa residual</c:v>
                </c:pt>
                <c:pt idx="4">
                  <c:v>Massa Óssea</c:v>
                </c:pt>
              </c:strCache>
            </c:strRef>
          </c:cat>
          <c:val>
            <c:numRef>
              <c:f>'Composição Corporal6'!$C$52:$C$56</c:f>
              <c:numCache>
                <c:formatCode>0.0\ "kg"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59-4E6F-990A-F8566B34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namnese1!A1"/><Relationship Id="rId3" Type="http://schemas.openxmlformats.org/officeDocument/2006/relationships/hyperlink" Target="#'Composi&#231;&#227;o Corporal2'!A1"/><Relationship Id="rId7" Type="http://schemas.openxmlformats.org/officeDocument/2006/relationships/hyperlink" Target="#'Composi&#231;&#227;o Corporal6'!A1"/><Relationship Id="rId12" Type="http://schemas.openxmlformats.org/officeDocument/2006/relationships/hyperlink" Target="#Instru&#231;&#245;es!A1"/><Relationship Id="rId2" Type="http://schemas.openxmlformats.org/officeDocument/2006/relationships/hyperlink" Target="#'Composi&#231;&#227;o Corporal1'!A1"/><Relationship Id="rId1" Type="http://schemas.openxmlformats.org/officeDocument/2006/relationships/hyperlink" Target="#'Dados do Aluno'!A1"/><Relationship Id="rId6" Type="http://schemas.openxmlformats.org/officeDocument/2006/relationships/hyperlink" Target="#'Composi&#231;&#227;o Corporal5'!A1"/><Relationship Id="rId11" Type="http://schemas.openxmlformats.org/officeDocument/2006/relationships/image" Target="../media/image2.png"/><Relationship Id="rId5" Type="http://schemas.openxmlformats.org/officeDocument/2006/relationships/hyperlink" Target="#'Composi&#231;&#227;o Corporal4'!A1"/><Relationship Id="rId10" Type="http://schemas.openxmlformats.org/officeDocument/2006/relationships/image" Target="../media/image1.png"/><Relationship Id="rId4" Type="http://schemas.openxmlformats.org/officeDocument/2006/relationships/hyperlink" Target="#'Composi&#231;&#227;o Corporal3'!A1"/><Relationship Id="rId9" Type="http://schemas.openxmlformats.org/officeDocument/2006/relationships/hyperlink" Target="#Relat&#243;rio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Home!A1"/><Relationship Id="rId7" Type="http://schemas.openxmlformats.org/officeDocument/2006/relationships/chart" Target="../charts/chart6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Relat&#243;rio!A1"/><Relationship Id="rId5" Type="http://schemas.openxmlformats.org/officeDocument/2006/relationships/hyperlink" Target="#Flexibilidade6!A1"/><Relationship Id="rId4" Type="http://schemas.openxmlformats.org/officeDocument/2006/relationships/hyperlink" Target="#'For&#231;a e Resist&#234;ncia e Aerobico6'!A1"/><Relationship Id="rId9" Type="http://schemas.openxmlformats.org/officeDocument/2006/relationships/hyperlink" Target="#Instru&#231;&#245;es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7" Type="http://schemas.openxmlformats.org/officeDocument/2006/relationships/hyperlink" Target="#Relat&#243;rio!A1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hyperlink" Target="#Flexibilidade1!A1"/><Relationship Id="rId5" Type="http://schemas.openxmlformats.org/officeDocument/2006/relationships/hyperlink" Target="#'Composi&#231;&#227;o Corporal1'!A1"/><Relationship Id="rId4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7" Type="http://schemas.openxmlformats.org/officeDocument/2006/relationships/hyperlink" Target="#Relat&#243;rio!A1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hyperlink" Target="#Flexibilidade2!A1"/><Relationship Id="rId5" Type="http://schemas.openxmlformats.org/officeDocument/2006/relationships/hyperlink" Target="#'Composi&#231;&#227;o Corporal2'!A1"/><Relationship Id="rId4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7" Type="http://schemas.openxmlformats.org/officeDocument/2006/relationships/hyperlink" Target="#Relat&#243;rio!A1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hyperlink" Target="#Flexibilidade3!A1"/><Relationship Id="rId5" Type="http://schemas.openxmlformats.org/officeDocument/2006/relationships/hyperlink" Target="#'Composi&#231;&#227;o Corporal3'!A1"/><Relationship Id="rId4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7" Type="http://schemas.openxmlformats.org/officeDocument/2006/relationships/hyperlink" Target="#Relat&#243;rio!A1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hyperlink" Target="#Flexibilidade4!A1"/><Relationship Id="rId5" Type="http://schemas.openxmlformats.org/officeDocument/2006/relationships/hyperlink" Target="#'Composi&#231;&#227;o Corporal4'!A1"/><Relationship Id="rId4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7" Type="http://schemas.openxmlformats.org/officeDocument/2006/relationships/hyperlink" Target="#Relat&#243;rio!A1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hyperlink" Target="#Flexibilidade5!A1"/><Relationship Id="rId5" Type="http://schemas.openxmlformats.org/officeDocument/2006/relationships/hyperlink" Target="#'Composi&#231;&#227;o Corporal5'!A1"/><Relationship Id="rId4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7" Type="http://schemas.openxmlformats.org/officeDocument/2006/relationships/hyperlink" Target="#Relat&#243;rio!A1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hyperlink" Target="#Flexibilidade6!A1"/><Relationship Id="rId5" Type="http://schemas.openxmlformats.org/officeDocument/2006/relationships/hyperlink" Target="#'Composi&#231;&#227;o Corporal6'!A1"/><Relationship Id="rId4" Type="http://schemas.openxmlformats.org/officeDocument/2006/relationships/hyperlink" Target="#Home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6.png"/><Relationship Id="rId3" Type="http://schemas.openxmlformats.org/officeDocument/2006/relationships/image" Target="../media/image11.png"/><Relationship Id="rId21" Type="http://schemas.openxmlformats.org/officeDocument/2006/relationships/hyperlink" Target="#'Composi&#231;&#227;o Corporal1'!A1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20" Type="http://schemas.openxmlformats.org/officeDocument/2006/relationships/hyperlink" Target="#Home!A1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hyperlink" Target="#Instru&#231;&#245;es!A1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23" Type="http://schemas.openxmlformats.org/officeDocument/2006/relationships/hyperlink" Target="#Relat&#243;rio!A1"/><Relationship Id="rId10" Type="http://schemas.openxmlformats.org/officeDocument/2006/relationships/image" Target="../media/image18.png"/><Relationship Id="rId19" Type="http://schemas.openxmlformats.org/officeDocument/2006/relationships/image" Target="../media/image27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Relationship Id="rId22" Type="http://schemas.openxmlformats.org/officeDocument/2006/relationships/hyperlink" Target="#'For&#231;a e Resist&#234;ncia e Aerob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6.png"/><Relationship Id="rId3" Type="http://schemas.openxmlformats.org/officeDocument/2006/relationships/image" Target="../media/image11.png"/><Relationship Id="rId21" Type="http://schemas.openxmlformats.org/officeDocument/2006/relationships/hyperlink" Target="#'Composi&#231;&#227;o Corporal2'!A1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20" Type="http://schemas.openxmlformats.org/officeDocument/2006/relationships/hyperlink" Target="#Home!A1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hyperlink" Target="#Instru&#231;&#245;es!A1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23" Type="http://schemas.openxmlformats.org/officeDocument/2006/relationships/hyperlink" Target="#Relat&#243;rio!A1"/><Relationship Id="rId10" Type="http://schemas.openxmlformats.org/officeDocument/2006/relationships/image" Target="../media/image18.png"/><Relationship Id="rId19" Type="http://schemas.openxmlformats.org/officeDocument/2006/relationships/image" Target="../media/image27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Relationship Id="rId22" Type="http://schemas.openxmlformats.org/officeDocument/2006/relationships/hyperlink" Target="#'For&#231;a e Resist&#234;ncia e Aerobico2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6.png"/><Relationship Id="rId3" Type="http://schemas.openxmlformats.org/officeDocument/2006/relationships/image" Target="../media/image11.png"/><Relationship Id="rId21" Type="http://schemas.openxmlformats.org/officeDocument/2006/relationships/hyperlink" Target="#'Composi&#231;&#227;o Corporal3'!A1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20" Type="http://schemas.openxmlformats.org/officeDocument/2006/relationships/hyperlink" Target="#Home!A1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hyperlink" Target="#Instru&#231;&#245;es!A1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23" Type="http://schemas.openxmlformats.org/officeDocument/2006/relationships/hyperlink" Target="#Relat&#243;rio!A1"/><Relationship Id="rId10" Type="http://schemas.openxmlformats.org/officeDocument/2006/relationships/image" Target="../media/image18.png"/><Relationship Id="rId19" Type="http://schemas.openxmlformats.org/officeDocument/2006/relationships/image" Target="../media/image27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Relationship Id="rId22" Type="http://schemas.openxmlformats.org/officeDocument/2006/relationships/hyperlink" Target="#'For&#231;a e Resist&#234;ncia e Aerobico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6.png"/><Relationship Id="rId3" Type="http://schemas.openxmlformats.org/officeDocument/2006/relationships/image" Target="../media/image11.png"/><Relationship Id="rId21" Type="http://schemas.openxmlformats.org/officeDocument/2006/relationships/hyperlink" Target="#'Composi&#231;&#227;o Corporal4'!A1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20" Type="http://schemas.openxmlformats.org/officeDocument/2006/relationships/hyperlink" Target="#Home!A1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hyperlink" Target="#Instru&#231;&#245;es!A1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23" Type="http://schemas.openxmlformats.org/officeDocument/2006/relationships/hyperlink" Target="#Relat&#243;rio!A1"/><Relationship Id="rId10" Type="http://schemas.openxmlformats.org/officeDocument/2006/relationships/image" Target="../media/image18.png"/><Relationship Id="rId19" Type="http://schemas.openxmlformats.org/officeDocument/2006/relationships/image" Target="../media/image27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Relationship Id="rId22" Type="http://schemas.openxmlformats.org/officeDocument/2006/relationships/hyperlink" Target="#'For&#231;a e Resist&#234;ncia e Aerobico4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6.png"/><Relationship Id="rId3" Type="http://schemas.openxmlformats.org/officeDocument/2006/relationships/image" Target="../media/image11.png"/><Relationship Id="rId21" Type="http://schemas.openxmlformats.org/officeDocument/2006/relationships/hyperlink" Target="#'Composi&#231;&#227;o Corporal5'!A1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20" Type="http://schemas.openxmlformats.org/officeDocument/2006/relationships/hyperlink" Target="#Home!A1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hyperlink" Target="#Instru&#231;&#245;es!A1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23" Type="http://schemas.openxmlformats.org/officeDocument/2006/relationships/hyperlink" Target="#Relat&#243;rio!A1"/><Relationship Id="rId10" Type="http://schemas.openxmlformats.org/officeDocument/2006/relationships/image" Target="../media/image18.png"/><Relationship Id="rId19" Type="http://schemas.openxmlformats.org/officeDocument/2006/relationships/image" Target="../media/image27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Relationship Id="rId22" Type="http://schemas.openxmlformats.org/officeDocument/2006/relationships/hyperlink" Target="#'For&#231;a e Resist&#234;ncia e Aerobico5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6.png"/><Relationship Id="rId3" Type="http://schemas.openxmlformats.org/officeDocument/2006/relationships/image" Target="../media/image11.png"/><Relationship Id="rId21" Type="http://schemas.openxmlformats.org/officeDocument/2006/relationships/hyperlink" Target="#'Composi&#231;&#227;o Corporal6'!A1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20" Type="http://schemas.openxmlformats.org/officeDocument/2006/relationships/hyperlink" Target="#Home!A1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24" Type="http://schemas.openxmlformats.org/officeDocument/2006/relationships/hyperlink" Target="#Instru&#231;&#245;es!A1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23" Type="http://schemas.openxmlformats.org/officeDocument/2006/relationships/hyperlink" Target="#Relat&#243;rio!A1"/><Relationship Id="rId10" Type="http://schemas.openxmlformats.org/officeDocument/2006/relationships/image" Target="../media/image18.png"/><Relationship Id="rId19" Type="http://schemas.openxmlformats.org/officeDocument/2006/relationships/image" Target="../media/image27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Relationship Id="rId22" Type="http://schemas.openxmlformats.org/officeDocument/2006/relationships/hyperlink" Target="#'For&#231;a e Resist&#234;ncia e Aerobico6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Composi&#231;&#227;o Corporal6'!A1"/><Relationship Id="rId3" Type="http://schemas.openxmlformats.org/officeDocument/2006/relationships/hyperlink" Target="#'Composi&#231;&#227;o Corporal1'!A1"/><Relationship Id="rId7" Type="http://schemas.openxmlformats.org/officeDocument/2006/relationships/hyperlink" Target="#'Composi&#231;&#227;o Corporal3'!A1"/><Relationship Id="rId2" Type="http://schemas.openxmlformats.org/officeDocument/2006/relationships/hyperlink" Target="#Anamnese1!A1"/><Relationship Id="rId1" Type="http://schemas.openxmlformats.org/officeDocument/2006/relationships/hyperlink" Target="#Home!A1"/><Relationship Id="rId6" Type="http://schemas.openxmlformats.org/officeDocument/2006/relationships/hyperlink" Target="#'Composi&#231;&#227;o Corporal5'!A1"/><Relationship Id="rId5" Type="http://schemas.openxmlformats.org/officeDocument/2006/relationships/hyperlink" Target="#'Composi&#231;&#227;o Corporal2'!A1"/><Relationship Id="rId4" Type="http://schemas.openxmlformats.org/officeDocument/2006/relationships/hyperlink" Target="#'Composi&#231;&#227;o Corporal4'!A1"/><Relationship Id="rId9" Type="http://schemas.openxmlformats.org/officeDocument/2006/relationships/hyperlink" Target="#Instru&#231;&#245;es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Composi&#231;&#227;o Corporal6'!A1"/><Relationship Id="rId3" Type="http://schemas.openxmlformats.org/officeDocument/2006/relationships/hyperlink" Target="#'Composi&#231;&#227;o Corporal1'!A1"/><Relationship Id="rId7" Type="http://schemas.openxmlformats.org/officeDocument/2006/relationships/hyperlink" Target="#'Composi&#231;&#227;o Corporal3'!A1"/><Relationship Id="rId2" Type="http://schemas.openxmlformats.org/officeDocument/2006/relationships/hyperlink" Target="#Relat&#243;rio!A1"/><Relationship Id="rId1" Type="http://schemas.openxmlformats.org/officeDocument/2006/relationships/hyperlink" Target="#Home!A1"/><Relationship Id="rId6" Type="http://schemas.openxmlformats.org/officeDocument/2006/relationships/hyperlink" Target="#'Composi&#231;&#227;o Corporal5'!A1"/><Relationship Id="rId5" Type="http://schemas.openxmlformats.org/officeDocument/2006/relationships/hyperlink" Target="#'Composi&#231;&#227;o Corporal2'!A1"/><Relationship Id="rId4" Type="http://schemas.openxmlformats.org/officeDocument/2006/relationships/hyperlink" Target="#'Composi&#231;&#227;o Corporal4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For&#231;a e Resist&#234;ncia e Aerobico6'!A1"/><Relationship Id="rId3" Type="http://schemas.openxmlformats.org/officeDocument/2006/relationships/hyperlink" Target="#'Composi&#231;&#227;o Corporal1'!A1"/><Relationship Id="rId7" Type="http://schemas.openxmlformats.org/officeDocument/2006/relationships/hyperlink" Target="#'Composi&#231;&#227;o Corporal3'!A1"/><Relationship Id="rId2" Type="http://schemas.openxmlformats.org/officeDocument/2006/relationships/hyperlink" Target="#Relat&#243;rio!A1"/><Relationship Id="rId1" Type="http://schemas.openxmlformats.org/officeDocument/2006/relationships/hyperlink" Target="#Home!A1"/><Relationship Id="rId6" Type="http://schemas.openxmlformats.org/officeDocument/2006/relationships/hyperlink" Target="#'Composi&#231;&#227;o Corporal5'!A1"/><Relationship Id="rId5" Type="http://schemas.openxmlformats.org/officeDocument/2006/relationships/hyperlink" Target="#'Composi&#231;&#227;o Corporal2'!A1"/><Relationship Id="rId4" Type="http://schemas.openxmlformats.org/officeDocument/2006/relationships/hyperlink" Target="#'Composi&#231;&#227;o Corporal4'!A1"/><Relationship Id="rId9" Type="http://schemas.openxmlformats.org/officeDocument/2006/relationships/hyperlink" Target="#Instru&#231;&#245;es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Home!A1"/><Relationship Id="rId7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Relat&#243;rio!A1"/><Relationship Id="rId5" Type="http://schemas.openxmlformats.org/officeDocument/2006/relationships/hyperlink" Target="#Flexibilidade1!A1"/><Relationship Id="rId4" Type="http://schemas.openxmlformats.org/officeDocument/2006/relationships/hyperlink" Target="#'For&#231;a e Resist&#234;ncia e Aerobico'!A1"/><Relationship Id="rId9" Type="http://schemas.openxmlformats.org/officeDocument/2006/relationships/hyperlink" Target="#Instru&#231;&#245;es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For&#231;a e Resist&#234;ncia e Aerobico2'!A1"/><Relationship Id="rId7" Type="http://schemas.openxmlformats.org/officeDocument/2006/relationships/image" Target="../media/image4.png"/><Relationship Id="rId2" Type="http://schemas.openxmlformats.org/officeDocument/2006/relationships/hyperlink" Target="#Home!A1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hyperlink" Target="#Relat&#243;rio!A1"/><Relationship Id="rId4" Type="http://schemas.openxmlformats.org/officeDocument/2006/relationships/hyperlink" Target="#Flexibilidade2!A1"/><Relationship Id="rId9" Type="http://schemas.openxmlformats.org/officeDocument/2006/relationships/hyperlink" Target="#Instru&#231;&#245;es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Home!A1"/><Relationship Id="rId7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Relat&#243;rio!A1"/><Relationship Id="rId5" Type="http://schemas.openxmlformats.org/officeDocument/2006/relationships/hyperlink" Target="#Flexibilidade3!A1"/><Relationship Id="rId4" Type="http://schemas.openxmlformats.org/officeDocument/2006/relationships/hyperlink" Target="#'For&#231;a e Resist&#234;ncia e Aerobico3'!A1"/><Relationship Id="rId9" Type="http://schemas.openxmlformats.org/officeDocument/2006/relationships/hyperlink" Target="#Instru&#231;&#245;es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Home!A1"/><Relationship Id="rId7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Relat&#243;rio!A1"/><Relationship Id="rId5" Type="http://schemas.openxmlformats.org/officeDocument/2006/relationships/hyperlink" Target="#Flexibilidade4!A1"/><Relationship Id="rId4" Type="http://schemas.openxmlformats.org/officeDocument/2006/relationships/hyperlink" Target="#'For&#231;a e Resist&#234;ncia e Aerobico4'!A1"/><Relationship Id="rId9" Type="http://schemas.openxmlformats.org/officeDocument/2006/relationships/hyperlink" Target="#Instru&#231;&#245;es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Home!A1"/><Relationship Id="rId7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Relat&#243;rio!A1"/><Relationship Id="rId5" Type="http://schemas.openxmlformats.org/officeDocument/2006/relationships/hyperlink" Target="#Flexibilidade5!A1"/><Relationship Id="rId4" Type="http://schemas.openxmlformats.org/officeDocument/2006/relationships/hyperlink" Target="#'For&#231;a e Resist&#234;ncia e Aerobico5'!A1"/><Relationship Id="rId9" Type="http://schemas.openxmlformats.org/officeDocument/2006/relationships/hyperlink" Target="#Instru&#231;&#245;e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7041</xdr:colOff>
      <xdr:row>2</xdr:row>
      <xdr:rowOff>114300</xdr:rowOff>
    </xdr:from>
    <xdr:to>
      <xdr:col>7</xdr:col>
      <xdr:colOff>311841</xdr:colOff>
      <xdr:row>5</xdr:row>
      <xdr:rowOff>38100</xdr:rowOff>
    </xdr:to>
    <xdr:sp macro="" textlink="">
      <xdr:nvSpPr>
        <xdr:cNvPr id="2" name="CaixaDe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2624" y="790161"/>
          <a:ext cx="3962400" cy="480391"/>
        </a:xfrm>
        <a:prstGeom prst="rect">
          <a:avLst/>
        </a:prstGeom>
        <a:solidFill>
          <a:srgbClr val="1F5EA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chemeClr val="bg1"/>
              </a:solidFill>
            </a:rPr>
            <a:t>Dados</a:t>
          </a:r>
          <a:r>
            <a:rPr lang="pt-BR" sz="2400" baseline="0">
              <a:solidFill>
                <a:schemeClr val="bg1"/>
              </a:solidFill>
            </a:rPr>
            <a:t> do Aluno</a:t>
          </a:r>
          <a:endParaRPr lang="pt-BR" sz="2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7041</xdr:colOff>
      <xdr:row>5</xdr:row>
      <xdr:rowOff>85725</xdr:rowOff>
    </xdr:from>
    <xdr:to>
      <xdr:col>4</xdr:col>
      <xdr:colOff>130866</xdr:colOff>
      <xdr:row>8</xdr:row>
      <xdr:rowOff>9525</xdr:rowOff>
    </xdr:to>
    <xdr:sp macro="" textlink="">
      <xdr:nvSpPr>
        <xdr:cNvPr id="3" name="CaixaDe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72624" y="1318177"/>
          <a:ext cx="1952625" cy="48039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Avaliação 1</a:t>
          </a:r>
        </a:p>
      </xdr:txBody>
    </xdr:sp>
    <xdr:clientData/>
  </xdr:twoCellAnchor>
  <xdr:twoCellAnchor>
    <xdr:from>
      <xdr:col>4</xdr:col>
      <xdr:colOff>188016</xdr:colOff>
      <xdr:row>5</xdr:row>
      <xdr:rowOff>85725</xdr:rowOff>
    </xdr:from>
    <xdr:to>
      <xdr:col>7</xdr:col>
      <xdr:colOff>311841</xdr:colOff>
      <xdr:row>8</xdr:row>
      <xdr:rowOff>9525</xdr:rowOff>
    </xdr:to>
    <xdr:sp macro="" textlink="">
      <xdr:nvSpPr>
        <xdr:cNvPr id="9" name="CaixaDeText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282399" y="1318177"/>
          <a:ext cx="1952625" cy="48039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Avaliação 2</a:t>
          </a:r>
        </a:p>
      </xdr:txBody>
    </xdr:sp>
    <xdr:clientData/>
  </xdr:twoCellAnchor>
  <xdr:twoCellAnchor>
    <xdr:from>
      <xdr:col>1</xdr:col>
      <xdr:colOff>7041</xdr:colOff>
      <xdr:row>8</xdr:row>
      <xdr:rowOff>57150</xdr:rowOff>
    </xdr:from>
    <xdr:to>
      <xdr:col>4</xdr:col>
      <xdr:colOff>130866</xdr:colOff>
      <xdr:row>10</xdr:row>
      <xdr:rowOff>171450</xdr:rowOff>
    </xdr:to>
    <xdr:sp macro="" textlink="">
      <xdr:nvSpPr>
        <xdr:cNvPr id="10" name="CaixaDe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272624" y="1846193"/>
          <a:ext cx="1952625" cy="48536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Avaliação 3</a:t>
          </a:r>
        </a:p>
      </xdr:txBody>
    </xdr:sp>
    <xdr:clientData/>
  </xdr:twoCellAnchor>
  <xdr:twoCellAnchor>
    <xdr:from>
      <xdr:col>4</xdr:col>
      <xdr:colOff>188016</xdr:colOff>
      <xdr:row>8</xdr:row>
      <xdr:rowOff>57150</xdr:rowOff>
    </xdr:from>
    <xdr:to>
      <xdr:col>7</xdr:col>
      <xdr:colOff>311841</xdr:colOff>
      <xdr:row>10</xdr:row>
      <xdr:rowOff>171450</xdr:rowOff>
    </xdr:to>
    <xdr:sp macro="" textlink="">
      <xdr:nvSpPr>
        <xdr:cNvPr id="11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282399" y="1846193"/>
          <a:ext cx="1952625" cy="48536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Avaliação 4</a:t>
          </a:r>
        </a:p>
      </xdr:txBody>
    </xdr:sp>
    <xdr:clientData/>
  </xdr:twoCellAnchor>
  <xdr:twoCellAnchor>
    <xdr:from>
      <xdr:col>1</xdr:col>
      <xdr:colOff>7041</xdr:colOff>
      <xdr:row>11</xdr:row>
      <xdr:rowOff>38100</xdr:rowOff>
    </xdr:from>
    <xdr:to>
      <xdr:col>4</xdr:col>
      <xdr:colOff>130866</xdr:colOff>
      <xdr:row>13</xdr:row>
      <xdr:rowOff>152400</xdr:rowOff>
    </xdr:to>
    <xdr:sp macro="" textlink="">
      <xdr:nvSpPr>
        <xdr:cNvPr id="12" name="CaixaDeText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72624" y="2383735"/>
          <a:ext cx="1952625" cy="48536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Avaliação 5</a:t>
          </a:r>
        </a:p>
      </xdr:txBody>
    </xdr:sp>
    <xdr:clientData/>
  </xdr:twoCellAnchor>
  <xdr:twoCellAnchor>
    <xdr:from>
      <xdr:col>4</xdr:col>
      <xdr:colOff>188016</xdr:colOff>
      <xdr:row>11</xdr:row>
      <xdr:rowOff>38100</xdr:rowOff>
    </xdr:from>
    <xdr:to>
      <xdr:col>7</xdr:col>
      <xdr:colOff>311841</xdr:colOff>
      <xdr:row>13</xdr:row>
      <xdr:rowOff>152400</xdr:rowOff>
    </xdr:to>
    <xdr:sp macro="" textlink="">
      <xdr:nvSpPr>
        <xdr:cNvPr id="13" name="CaixaDeText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282399" y="2383735"/>
          <a:ext cx="1952625" cy="48536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Avaliação 6</a:t>
          </a:r>
        </a:p>
      </xdr:txBody>
    </xdr:sp>
    <xdr:clientData/>
  </xdr:twoCellAnchor>
  <xdr:twoCellAnchor>
    <xdr:from>
      <xdr:col>1</xdr:col>
      <xdr:colOff>7041</xdr:colOff>
      <xdr:row>14</xdr:row>
      <xdr:rowOff>9525</xdr:rowOff>
    </xdr:from>
    <xdr:to>
      <xdr:col>4</xdr:col>
      <xdr:colOff>130866</xdr:colOff>
      <xdr:row>16</xdr:row>
      <xdr:rowOff>123825</xdr:rowOff>
    </xdr:to>
    <xdr:sp macro="" textlink="">
      <xdr:nvSpPr>
        <xdr:cNvPr id="14" name="CaixaDeTexto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72624" y="2911751"/>
          <a:ext cx="1952625" cy="48536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Anamnese</a:t>
          </a:r>
        </a:p>
      </xdr:txBody>
    </xdr:sp>
    <xdr:clientData/>
  </xdr:twoCellAnchor>
  <xdr:twoCellAnchor>
    <xdr:from>
      <xdr:col>4</xdr:col>
      <xdr:colOff>188016</xdr:colOff>
      <xdr:row>14</xdr:row>
      <xdr:rowOff>9525</xdr:rowOff>
    </xdr:from>
    <xdr:to>
      <xdr:col>7</xdr:col>
      <xdr:colOff>311841</xdr:colOff>
      <xdr:row>16</xdr:row>
      <xdr:rowOff>123825</xdr:rowOff>
    </xdr:to>
    <xdr:sp macro="" textlink="">
      <xdr:nvSpPr>
        <xdr:cNvPr id="15" name="CaixaDeTexto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282399" y="2911751"/>
          <a:ext cx="1952625" cy="485361"/>
        </a:xfrm>
        <a:prstGeom prst="rect">
          <a:avLst/>
        </a:prstGeom>
        <a:solidFill>
          <a:srgbClr val="FF520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oneCell">
    <xdr:from>
      <xdr:col>1</xdr:col>
      <xdr:colOff>165654</xdr:colOff>
      <xdr:row>1</xdr:row>
      <xdr:rowOff>36445</xdr:rowOff>
    </xdr:from>
    <xdr:to>
      <xdr:col>2</xdr:col>
      <xdr:colOff>1</xdr:colOff>
      <xdr:row>1</xdr:row>
      <xdr:rowOff>477079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237" y="221975"/>
          <a:ext cx="443947" cy="440634"/>
        </a:xfrm>
        <a:prstGeom prst="rect">
          <a:avLst/>
        </a:prstGeom>
      </xdr:spPr>
    </xdr:pic>
    <xdr:clientData/>
  </xdr:twoCellAnchor>
  <xdr:twoCellAnchor editAs="oneCell">
    <xdr:from>
      <xdr:col>6</xdr:col>
      <xdr:colOff>431610</xdr:colOff>
      <xdr:row>1</xdr:row>
      <xdr:rowOff>24103</xdr:rowOff>
    </xdr:from>
    <xdr:to>
      <xdr:col>7</xdr:col>
      <xdr:colOff>281611</xdr:colOff>
      <xdr:row>1</xdr:row>
      <xdr:rowOff>480391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193" y="209633"/>
          <a:ext cx="459601" cy="456288"/>
        </a:xfrm>
        <a:prstGeom prst="rect">
          <a:avLst/>
        </a:prstGeom>
      </xdr:spPr>
    </xdr:pic>
    <xdr:clientData/>
  </xdr:twoCellAnchor>
  <xdr:twoCellAnchor>
    <xdr:from>
      <xdr:col>1</xdr:col>
      <xdr:colOff>414</xdr:colOff>
      <xdr:row>16</xdr:row>
      <xdr:rowOff>167309</xdr:rowOff>
    </xdr:from>
    <xdr:to>
      <xdr:col>8</xdr:col>
      <xdr:colOff>6625</xdr:colOff>
      <xdr:row>19</xdr:row>
      <xdr:rowOff>91109</xdr:rowOff>
    </xdr:to>
    <xdr:sp macro="" textlink="">
      <xdr:nvSpPr>
        <xdr:cNvPr id="6" name="CaixaDeTexto 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ACDC188-FA94-41F5-9063-584818F7DA74}"/>
            </a:ext>
          </a:extLst>
        </xdr:cNvPr>
        <xdr:cNvSpPr txBox="1"/>
      </xdr:nvSpPr>
      <xdr:spPr>
        <a:xfrm>
          <a:off x="1265997" y="3440596"/>
          <a:ext cx="3961985" cy="480391"/>
        </a:xfrm>
        <a:prstGeom prst="rect">
          <a:avLst/>
        </a:prstGeom>
        <a:solidFill>
          <a:srgbClr val="1F5EA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chemeClr val="bg1"/>
              </a:solidFill>
            </a:rPr>
            <a:t>Instruções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177312</xdr:colOff>
      <xdr:row>11</xdr:row>
      <xdr:rowOff>161924</xdr:rowOff>
    </xdr:from>
    <xdr:to>
      <xdr:col>8</xdr:col>
      <xdr:colOff>12455</xdr:colOff>
      <xdr:row>33</xdr:row>
      <xdr:rowOff>38099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212" y="2971799"/>
          <a:ext cx="3407018" cy="2657475"/>
        </a:xfrm>
        <a:prstGeom prst="rect">
          <a:avLst/>
        </a:prstGeom>
      </xdr:spPr>
    </xdr:pic>
    <xdr:clientData/>
  </xdr:twoCellAnchor>
  <xdr:twoCellAnchor editAs="oneCell">
    <xdr:from>
      <xdr:col>15</xdr:col>
      <xdr:colOff>257176</xdr:colOff>
      <xdr:row>11</xdr:row>
      <xdr:rowOff>28577</xdr:rowOff>
    </xdr:from>
    <xdr:to>
      <xdr:col>17</xdr:col>
      <xdr:colOff>427259</xdr:colOff>
      <xdr:row>32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6" y="2838452"/>
          <a:ext cx="1389283" cy="271462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4</xdr:col>
      <xdr:colOff>457201</xdr:colOff>
      <xdr:row>0</xdr:row>
      <xdr:rowOff>390525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/>
      </xdr:nvSpPr>
      <xdr:spPr>
        <a:xfrm>
          <a:off x="1247776" y="142875"/>
          <a:ext cx="2066925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4</xdr:col>
      <xdr:colOff>485775</xdr:colOff>
      <xdr:row>0</xdr:row>
      <xdr:rowOff>142875</xdr:rowOff>
    </xdr:from>
    <xdr:to>
      <xdr:col>8</xdr:col>
      <xdr:colOff>523875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/>
      </xdr:nvSpPr>
      <xdr:spPr>
        <a:xfrm>
          <a:off x="3343275" y="142875"/>
          <a:ext cx="26860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9</xdr:col>
      <xdr:colOff>45297</xdr:colOff>
      <xdr:row>0</xdr:row>
      <xdr:rowOff>142875</xdr:rowOff>
    </xdr:from>
    <xdr:to>
      <xdr:col>12</xdr:col>
      <xdr:colOff>67631</xdr:colOff>
      <xdr:row>0</xdr:row>
      <xdr:rowOff>390525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/>
      </xdr:nvSpPr>
      <xdr:spPr>
        <a:xfrm>
          <a:off x="6429164" y="142875"/>
          <a:ext cx="1148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12</xdr:col>
      <xdr:colOff>105407</xdr:colOff>
      <xdr:row>0</xdr:row>
      <xdr:rowOff>142875</xdr:rowOff>
    </xdr:from>
    <xdr:to>
      <xdr:col>15</xdr:col>
      <xdr:colOff>327540</xdr:colOff>
      <xdr:row>0</xdr:row>
      <xdr:rowOff>390525</xdr:rowOff>
    </xdr:to>
    <xdr:sp macro="" textlink="">
      <xdr:nvSpPr>
        <xdr:cNvPr id="15" name="Retângul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/>
      </xdr:nvSpPr>
      <xdr:spPr>
        <a:xfrm>
          <a:off x="7615340" y="142875"/>
          <a:ext cx="1576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10</xdr:col>
      <xdr:colOff>0</xdr:colOff>
      <xdr:row>37</xdr:row>
      <xdr:rowOff>123825</xdr:rowOff>
    </xdr:from>
    <xdr:to>
      <xdr:col>24</xdr:col>
      <xdr:colOff>8467</xdr:colOff>
      <xdr:row>49</xdr:row>
      <xdr:rowOff>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118537</xdr:colOff>
      <xdr:row>24</xdr:row>
      <xdr:rowOff>50802</xdr:rowOff>
    </xdr:from>
    <xdr:to>
      <xdr:col>23</xdr:col>
      <xdr:colOff>76204</xdr:colOff>
      <xdr:row>33</xdr:row>
      <xdr:rowOff>31537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428CA3A2-0057-4C8F-A4F9-4A5CA3289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4404" y="4478869"/>
          <a:ext cx="2243667" cy="1081401"/>
        </a:xfrm>
        <a:prstGeom prst="rect">
          <a:avLst/>
        </a:prstGeom>
      </xdr:spPr>
    </xdr:pic>
    <xdr:clientData/>
  </xdr:twoCellAnchor>
  <xdr:twoCellAnchor>
    <xdr:from>
      <xdr:col>15</xdr:col>
      <xdr:colOff>365760</xdr:colOff>
      <xdr:row>0</xdr:row>
      <xdr:rowOff>144984</xdr:rowOff>
    </xdr:from>
    <xdr:to>
      <xdr:col>18</xdr:col>
      <xdr:colOff>31752</xdr:colOff>
      <xdr:row>0</xdr:row>
      <xdr:rowOff>391576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633454E-0B0D-4FCF-ABA3-A2C23E8597EF}"/>
            </a:ext>
          </a:extLst>
        </xdr:cNvPr>
        <xdr:cNvSpPr/>
      </xdr:nvSpPr>
      <xdr:spPr>
        <a:xfrm>
          <a:off x="9230360" y="144984"/>
          <a:ext cx="1545592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438149</xdr:colOff>
      <xdr:row>4</xdr:row>
      <xdr:rowOff>84451</xdr:rowOff>
    </xdr:from>
    <xdr:to>
      <xdr:col>11</xdr:col>
      <xdr:colOff>155952</xdr:colOff>
      <xdr:row>10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0" r="8653"/>
        <a:stretch/>
      </xdr:blipFill>
      <xdr:spPr>
        <a:xfrm>
          <a:off x="3581399" y="732151"/>
          <a:ext cx="3584953" cy="1058549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14</xdr:row>
      <xdr:rowOff>47625</xdr:rowOff>
    </xdr:from>
    <xdr:to>
      <xdr:col>11</xdr:col>
      <xdr:colOff>229769</xdr:colOff>
      <xdr:row>20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" t="10822" r="7250" b="11689"/>
        <a:stretch/>
      </xdr:blipFill>
      <xdr:spPr>
        <a:xfrm>
          <a:off x="3343274" y="2543175"/>
          <a:ext cx="3896895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</xdr:row>
      <xdr:rowOff>123825</xdr:rowOff>
    </xdr:from>
    <xdr:to>
      <xdr:col>10</xdr:col>
      <xdr:colOff>251459</xdr:colOff>
      <xdr:row>29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010150"/>
          <a:ext cx="1223009" cy="1019175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0</xdr:row>
      <xdr:rowOff>142875</xdr:rowOff>
    </xdr:from>
    <xdr:to>
      <xdr:col>3</xdr:col>
      <xdr:colOff>121921</xdr:colOff>
      <xdr:row>0</xdr:row>
      <xdr:rowOff>390525</xdr:rowOff>
    </xdr:to>
    <xdr:sp macro="" textlink="">
      <xdr:nvSpPr>
        <xdr:cNvPr id="16" name="Retângulo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47651" y="142875"/>
          <a:ext cx="78867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</a:t>
          </a:r>
          <a:r>
            <a:rPr lang="pt-BR" sz="1400" b="1" baseline="0"/>
            <a:t> Menu</a:t>
          </a:r>
          <a:endParaRPr lang="pt-BR" sz="1400" b="1"/>
        </a:p>
      </xdr:txBody>
    </xdr:sp>
    <xdr:clientData/>
  </xdr:twoCellAnchor>
  <xdr:twoCellAnchor>
    <xdr:from>
      <xdr:col>3</xdr:col>
      <xdr:colOff>167641</xdr:colOff>
      <xdr:row>0</xdr:row>
      <xdr:rowOff>142875</xdr:rowOff>
    </xdr:from>
    <xdr:to>
      <xdr:col>5</xdr:col>
      <xdr:colOff>693420</xdr:colOff>
      <xdr:row>0</xdr:row>
      <xdr:rowOff>390525</xdr:rowOff>
    </xdr:to>
    <xdr:sp macro="" textlink="">
      <xdr:nvSpPr>
        <xdr:cNvPr id="17" name="Retângulo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082041" y="142875"/>
          <a:ext cx="1767839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5</xdr:col>
      <xdr:colOff>739141</xdr:colOff>
      <xdr:row>0</xdr:row>
      <xdr:rowOff>142875</xdr:rowOff>
    </xdr:from>
    <xdr:to>
      <xdr:col>8</xdr:col>
      <xdr:colOff>30481</xdr:colOff>
      <xdr:row>0</xdr:row>
      <xdr:rowOff>390525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2895601" y="142875"/>
          <a:ext cx="240792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8</xdr:col>
      <xdr:colOff>68581</xdr:colOff>
      <xdr:row>0</xdr:row>
      <xdr:rowOff>142875</xdr:rowOff>
    </xdr:from>
    <xdr:to>
      <xdr:col>10</xdr:col>
      <xdr:colOff>30480</xdr:colOff>
      <xdr:row>0</xdr:row>
      <xdr:rowOff>390525</xdr:rowOff>
    </xdr:to>
    <xdr:sp macro="" textlink="">
      <xdr:nvSpPr>
        <xdr:cNvPr id="19" name="Retângulo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341621" y="142875"/>
          <a:ext cx="1181099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10</xdr:col>
      <xdr:colOff>74296</xdr:colOff>
      <xdr:row>0</xdr:row>
      <xdr:rowOff>142875</xdr:rowOff>
    </xdr:from>
    <xdr:to>
      <xdr:col>12</xdr:col>
      <xdr:colOff>45720</xdr:colOff>
      <xdr:row>0</xdr:row>
      <xdr:rowOff>390525</xdr:rowOff>
    </xdr:to>
    <xdr:sp macro="" textlink="">
      <xdr:nvSpPr>
        <xdr:cNvPr id="20" name="Retângulo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6566536" y="142875"/>
          <a:ext cx="878204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438149</xdr:colOff>
      <xdr:row>4</xdr:row>
      <xdr:rowOff>84451</xdr:rowOff>
    </xdr:from>
    <xdr:to>
      <xdr:col>11</xdr:col>
      <xdr:colOff>155952</xdr:colOff>
      <xdr:row>10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0" r="8653"/>
        <a:stretch/>
      </xdr:blipFill>
      <xdr:spPr>
        <a:xfrm>
          <a:off x="3630929" y="1593211"/>
          <a:ext cx="3626863" cy="1033784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14</xdr:row>
      <xdr:rowOff>47625</xdr:rowOff>
    </xdr:from>
    <xdr:to>
      <xdr:col>11</xdr:col>
      <xdr:colOff>229769</xdr:colOff>
      <xdr:row>20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" t="10822" r="7250" b="11689"/>
        <a:stretch/>
      </xdr:blipFill>
      <xdr:spPr>
        <a:xfrm>
          <a:off x="3324224" y="3276600"/>
          <a:ext cx="3896895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</xdr:row>
      <xdr:rowOff>123825</xdr:rowOff>
    </xdr:from>
    <xdr:to>
      <xdr:col>10</xdr:col>
      <xdr:colOff>251459</xdr:colOff>
      <xdr:row>29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5010150"/>
          <a:ext cx="1223009" cy="1019175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0</xdr:row>
      <xdr:rowOff>142875</xdr:rowOff>
    </xdr:from>
    <xdr:to>
      <xdr:col>3</xdr:col>
      <xdr:colOff>129541</xdr:colOff>
      <xdr:row>0</xdr:row>
      <xdr:rowOff>390525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247651" y="142875"/>
          <a:ext cx="79629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3</xdr:col>
      <xdr:colOff>182881</xdr:colOff>
      <xdr:row>0</xdr:row>
      <xdr:rowOff>142875</xdr:rowOff>
    </xdr:from>
    <xdr:to>
      <xdr:col>5</xdr:col>
      <xdr:colOff>708660</xdr:colOff>
      <xdr:row>0</xdr:row>
      <xdr:rowOff>390525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097281" y="142875"/>
          <a:ext cx="1767839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5</xdr:col>
      <xdr:colOff>739141</xdr:colOff>
      <xdr:row>0</xdr:row>
      <xdr:rowOff>142875</xdr:rowOff>
    </xdr:from>
    <xdr:to>
      <xdr:col>8</xdr:col>
      <xdr:colOff>30961</xdr:colOff>
      <xdr:row>0</xdr:row>
      <xdr:rowOff>390525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2895601" y="142875"/>
          <a:ext cx="240840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8</xdr:col>
      <xdr:colOff>68581</xdr:colOff>
      <xdr:row>0</xdr:row>
      <xdr:rowOff>142875</xdr:rowOff>
    </xdr:from>
    <xdr:to>
      <xdr:col>10</xdr:col>
      <xdr:colOff>30181</xdr:colOff>
      <xdr:row>0</xdr:row>
      <xdr:rowOff>390525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5341621" y="142875"/>
          <a:ext cx="1180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10</xdr:col>
      <xdr:colOff>74296</xdr:colOff>
      <xdr:row>0</xdr:row>
      <xdr:rowOff>142875</xdr:rowOff>
    </xdr:from>
    <xdr:to>
      <xdr:col>12</xdr:col>
      <xdr:colOff>45916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6566536" y="142875"/>
          <a:ext cx="878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438149</xdr:colOff>
      <xdr:row>4</xdr:row>
      <xdr:rowOff>84451</xdr:rowOff>
    </xdr:from>
    <xdr:to>
      <xdr:col>11</xdr:col>
      <xdr:colOff>155952</xdr:colOff>
      <xdr:row>10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0" r="8653"/>
        <a:stretch/>
      </xdr:blipFill>
      <xdr:spPr>
        <a:xfrm>
          <a:off x="3562349" y="1465576"/>
          <a:ext cx="3584953" cy="1058549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14</xdr:row>
      <xdr:rowOff>47625</xdr:rowOff>
    </xdr:from>
    <xdr:to>
      <xdr:col>11</xdr:col>
      <xdr:colOff>229769</xdr:colOff>
      <xdr:row>20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" t="10822" r="7250" b="11689"/>
        <a:stretch/>
      </xdr:blipFill>
      <xdr:spPr>
        <a:xfrm>
          <a:off x="3324224" y="3276600"/>
          <a:ext cx="3896895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</xdr:row>
      <xdr:rowOff>123825</xdr:rowOff>
    </xdr:from>
    <xdr:to>
      <xdr:col>10</xdr:col>
      <xdr:colOff>251459</xdr:colOff>
      <xdr:row>29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5010150"/>
          <a:ext cx="1223009" cy="10191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3</xdr:col>
      <xdr:colOff>128850</xdr:colOff>
      <xdr:row>0</xdr:row>
      <xdr:rowOff>390525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47650" y="142875"/>
          <a:ext cx="795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3</xdr:col>
      <xdr:colOff>190501</xdr:colOff>
      <xdr:row>0</xdr:row>
      <xdr:rowOff>142875</xdr:rowOff>
    </xdr:from>
    <xdr:to>
      <xdr:col>5</xdr:col>
      <xdr:colOff>716041</xdr:colOff>
      <xdr:row>0</xdr:row>
      <xdr:rowOff>390525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1104901" y="142875"/>
          <a:ext cx="1767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5</xdr:col>
      <xdr:colOff>746760</xdr:colOff>
      <xdr:row>0</xdr:row>
      <xdr:rowOff>142875</xdr:rowOff>
    </xdr:from>
    <xdr:to>
      <xdr:col>8</xdr:col>
      <xdr:colOff>38580</xdr:colOff>
      <xdr:row>0</xdr:row>
      <xdr:rowOff>390525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903220" y="142875"/>
          <a:ext cx="240840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8</xdr:col>
      <xdr:colOff>68581</xdr:colOff>
      <xdr:row>0</xdr:row>
      <xdr:rowOff>142875</xdr:rowOff>
    </xdr:from>
    <xdr:to>
      <xdr:col>10</xdr:col>
      <xdr:colOff>30181</xdr:colOff>
      <xdr:row>0</xdr:row>
      <xdr:rowOff>390525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5341621" y="142875"/>
          <a:ext cx="1180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10</xdr:col>
      <xdr:colOff>74296</xdr:colOff>
      <xdr:row>0</xdr:row>
      <xdr:rowOff>142875</xdr:rowOff>
    </xdr:from>
    <xdr:to>
      <xdr:col>12</xdr:col>
      <xdr:colOff>45916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6566536" y="142875"/>
          <a:ext cx="878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438149</xdr:colOff>
      <xdr:row>4</xdr:row>
      <xdr:rowOff>84451</xdr:rowOff>
    </xdr:from>
    <xdr:to>
      <xdr:col>11</xdr:col>
      <xdr:colOff>155952</xdr:colOff>
      <xdr:row>10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0" r="8653"/>
        <a:stretch/>
      </xdr:blipFill>
      <xdr:spPr>
        <a:xfrm>
          <a:off x="3562349" y="1465576"/>
          <a:ext cx="3584953" cy="1058549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14</xdr:row>
      <xdr:rowOff>47625</xdr:rowOff>
    </xdr:from>
    <xdr:to>
      <xdr:col>11</xdr:col>
      <xdr:colOff>229769</xdr:colOff>
      <xdr:row>20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" t="10822" r="7250" b="11689"/>
        <a:stretch/>
      </xdr:blipFill>
      <xdr:spPr>
        <a:xfrm>
          <a:off x="3324224" y="3276600"/>
          <a:ext cx="3896895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</xdr:row>
      <xdr:rowOff>123825</xdr:rowOff>
    </xdr:from>
    <xdr:to>
      <xdr:col>10</xdr:col>
      <xdr:colOff>251459</xdr:colOff>
      <xdr:row>29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5010150"/>
          <a:ext cx="1223009" cy="10191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3</xdr:col>
      <xdr:colOff>128850</xdr:colOff>
      <xdr:row>0</xdr:row>
      <xdr:rowOff>390525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47650" y="142875"/>
          <a:ext cx="795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3</xdr:col>
      <xdr:colOff>182881</xdr:colOff>
      <xdr:row>0</xdr:row>
      <xdr:rowOff>142875</xdr:rowOff>
    </xdr:from>
    <xdr:to>
      <xdr:col>5</xdr:col>
      <xdr:colOff>708421</xdr:colOff>
      <xdr:row>0</xdr:row>
      <xdr:rowOff>390525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1097281" y="142875"/>
          <a:ext cx="1767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5</xdr:col>
      <xdr:colOff>739140</xdr:colOff>
      <xdr:row>0</xdr:row>
      <xdr:rowOff>142875</xdr:rowOff>
    </xdr:from>
    <xdr:to>
      <xdr:col>8</xdr:col>
      <xdr:colOff>30960</xdr:colOff>
      <xdr:row>0</xdr:row>
      <xdr:rowOff>390525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2895600" y="142875"/>
          <a:ext cx="240840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8</xdr:col>
      <xdr:colOff>60961</xdr:colOff>
      <xdr:row>0</xdr:row>
      <xdr:rowOff>142875</xdr:rowOff>
    </xdr:from>
    <xdr:to>
      <xdr:col>10</xdr:col>
      <xdr:colOff>22561</xdr:colOff>
      <xdr:row>0</xdr:row>
      <xdr:rowOff>390525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5334001" y="142875"/>
          <a:ext cx="1180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10</xdr:col>
      <xdr:colOff>66676</xdr:colOff>
      <xdr:row>0</xdr:row>
      <xdr:rowOff>142875</xdr:rowOff>
    </xdr:from>
    <xdr:to>
      <xdr:col>12</xdr:col>
      <xdr:colOff>31096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6558916" y="142875"/>
          <a:ext cx="8712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438149</xdr:colOff>
      <xdr:row>4</xdr:row>
      <xdr:rowOff>84451</xdr:rowOff>
    </xdr:from>
    <xdr:to>
      <xdr:col>11</xdr:col>
      <xdr:colOff>155952</xdr:colOff>
      <xdr:row>10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0" r="8653"/>
        <a:stretch/>
      </xdr:blipFill>
      <xdr:spPr>
        <a:xfrm>
          <a:off x="3562349" y="1465576"/>
          <a:ext cx="3584953" cy="1058549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14</xdr:row>
      <xdr:rowOff>47625</xdr:rowOff>
    </xdr:from>
    <xdr:to>
      <xdr:col>11</xdr:col>
      <xdr:colOff>229769</xdr:colOff>
      <xdr:row>20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" t="10822" r="7250" b="11689"/>
        <a:stretch/>
      </xdr:blipFill>
      <xdr:spPr>
        <a:xfrm>
          <a:off x="3324224" y="3276600"/>
          <a:ext cx="3896895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</xdr:row>
      <xdr:rowOff>123825</xdr:rowOff>
    </xdr:from>
    <xdr:to>
      <xdr:col>10</xdr:col>
      <xdr:colOff>251459</xdr:colOff>
      <xdr:row>29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5010150"/>
          <a:ext cx="1223009" cy="1019175"/>
        </a:xfrm>
        <a:prstGeom prst="rect">
          <a:avLst/>
        </a:prstGeom>
      </xdr:spPr>
    </xdr:pic>
    <xdr:clientData/>
  </xdr:twoCellAnchor>
  <xdr:twoCellAnchor>
    <xdr:from>
      <xdr:col>0</xdr:col>
      <xdr:colOff>224790</xdr:colOff>
      <xdr:row>0</xdr:row>
      <xdr:rowOff>142875</xdr:rowOff>
    </xdr:from>
    <xdr:to>
      <xdr:col>3</xdr:col>
      <xdr:colOff>105990</xdr:colOff>
      <xdr:row>0</xdr:row>
      <xdr:rowOff>390525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24790" y="142875"/>
          <a:ext cx="795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3</xdr:col>
      <xdr:colOff>167641</xdr:colOff>
      <xdr:row>0</xdr:row>
      <xdr:rowOff>142875</xdr:rowOff>
    </xdr:from>
    <xdr:to>
      <xdr:col>5</xdr:col>
      <xdr:colOff>693181</xdr:colOff>
      <xdr:row>0</xdr:row>
      <xdr:rowOff>390525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1082041" y="142875"/>
          <a:ext cx="1767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5</xdr:col>
      <xdr:colOff>731520</xdr:colOff>
      <xdr:row>0</xdr:row>
      <xdr:rowOff>142875</xdr:rowOff>
    </xdr:from>
    <xdr:to>
      <xdr:col>8</xdr:col>
      <xdr:colOff>23340</xdr:colOff>
      <xdr:row>0</xdr:row>
      <xdr:rowOff>390525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2887980" y="142875"/>
          <a:ext cx="240840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8</xdr:col>
      <xdr:colOff>53341</xdr:colOff>
      <xdr:row>0</xdr:row>
      <xdr:rowOff>142875</xdr:rowOff>
    </xdr:from>
    <xdr:to>
      <xdr:col>10</xdr:col>
      <xdr:colOff>14941</xdr:colOff>
      <xdr:row>0</xdr:row>
      <xdr:rowOff>390525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5326381" y="142875"/>
          <a:ext cx="1180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10</xdr:col>
      <xdr:colOff>59056</xdr:colOff>
      <xdr:row>0</xdr:row>
      <xdr:rowOff>142875</xdr:rowOff>
    </xdr:from>
    <xdr:to>
      <xdr:col>12</xdr:col>
      <xdr:colOff>23476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6551296" y="142875"/>
          <a:ext cx="8712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438149</xdr:colOff>
      <xdr:row>4</xdr:row>
      <xdr:rowOff>84451</xdr:rowOff>
    </xdr:from>
    <xdr:to>
      <xdr:col>11</xdr:col>
      <xdr:colOff>155952</xdr:colOff>
      <xdr:row>10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30" r="8653"/>
        <a:stretch/>
      </xdr:blipFill>
      <xdr:spPr>
        <a:xfrm>
          <a:off x="3562349" y="1465576"/>
          <a:ext cx="3584953" cy="1058549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200024</xdr:colOff>
      <xdr:row>14</xdr:row>
      <xdr:rowOff>47625</xdr:rowOff>
    </xdr:from>
    <xdr:to>
      <xdr:col>11</xdr:col>
      <xdr:colOff>229769</xdr:colOff>
      <xdr:row>20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" t="10822" r="7250" b="11689"/>
        <a:stretch/>
      </xdr:blipFill>
      <xdr:spPr>
        <a:xfrm>
          <a:off x="3324224" y="3276600"/>
          <a:ext cx="3896895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23</xdr:row>
      <xdr:rowOff>123825</xdr:rowOff>
    </xdr:from>
    <xdr:to>
      <xdr:col>10</xdr:col>
      <xdr:colOff>251459</xdr:colOff>
      <xdr:row>29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5010150"/>
          <a:ext cx="1223009" cy="1019175"/>
        </a:xfrm>
        <a:prstGeom prst="rect">
          <a:avLst/>
        </a:prstGeom>
      </xdr:spPr>
    </xdr:pic>
    <xdr:clientData/>
  </xdr:twoCellAnchor>
  <xdr:twoCellAnchor>
    <xdr:from>
      <xdr:col>0</xdr:col>
      <xdr:colOff>224790</xdr:colOff>
      <xdr:row>0</xdr:row>
      <xdr:rowOff>142875</xdr:rowOff>
    </xdr:from>
    <xdr:to>
      <xdr:col>3</xdr:col>
      <xdr:colOff>105990</xdr:colOff>
      <xdr:row>0</xdr:row>
      <xdr:rowOff>390525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24790" y="142875"/>
          <a:ext cx="795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3</xdr:col>
      <xdr:colOff>175261</xdr:colOff>
      <xdr:row>0</xdr:row>
      <xdr:rowOff>142875</xdr:rowOff>
    </xdr:from>
    <xdr:to>
      <xdr:col>5</xdr:col>
      <xdr:colOff>700801</xdr:colOff>
      <xdr:row>0</xdr:row>
      <xdr:rowOff>390525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089661" y="142875"/>
          <a:ext cx="17676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5</xdr:col>
      <xdr:colOff>739140</xdr:colOff>
      <xdr:row>0</xdr:row>
      <xdr:rowOff>142875</xdr:rowOff>
    </xdr:from>
    <xdr:to>
      <xdr:col>8</xdr:col>
      <xdr:colOff>30960</xdr:colOff>
      <xdr:row>0</xdr:row>
      <xdr:rowOff>390525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2895600" y="142875"/>
          <a:ext cx="240840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8</xdr:col>
      <xdr:colOff>60961</xdr:colOff>
      <xdr:row>0</xdr:row>
      <xdr:rowOff>142875</xdr:rowOff>
    </xdr:from>
    <xdr:to>
      <xdr:col>10</xdr:col>
      <xdr:colOff>22561</xdr:colOff>
      <xdr:row>0</xdr:row>
      <xdr:rowOff>390525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5334001" y="142875"/>
          <a:ext cx="1180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10</xdr:col>
      <xdr:colOff>59056</xdr:colOff>
      <xdr:row>0</xdr:row>
      <xdr:rowOff>142875</xdr:rowOff>
    </xdr:from>
    <xdr:to>
      <xdr:col>12</xdr:col>
      <xdr:colOff>16276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6551296" y="142875"/>
          <a:ext cx="8640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9525</xdr:rowOff>
    </xdr:from>
    <xdr:to>
      <xdr:col>13</xdr:col>
      <xdr:colOff>589642</xdr:colOff>
      <xdr:row>5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285875"/>
          <a:ext cx="7266667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</xdr:row>
      <xdr:rowOff>0</xdr:rowOff>
    </xdr:from>
    <xdr:to>
      <xdr:col>13</xdr:col>
      <xdr:colOff>619126</xdr:colOff>
      <xdr:row>6</xdr:row>
      <xdr:rowOff>76100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" r="1276"/>
        <a:stretch/>
      </xdr:blipFill>
      <xdr:spPr>
        <a:xfrm>
          <a:off x="3086100" y="1581150"/>
          <a:ext cx="7229476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47625</xdr:rowOff>
    </xdr:from>
    <xdr:to>
      <xdr:col>13</xdr:col>
      <xdr:colOff>618227</xdr:colOff>
      <xdr:row>6</xdr:row>
      <xdr:rowOff>1476196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3133725"/>
          <a:ext cx="7180952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38100</xdr:rowOff>
    </xdr:from>
    <xdr:to>
      <xdr:col>13</xdr:col>
      <xdr:colOff>275396</xdr:colOff>
      <xdr:row>7</xdr:row>
      <xdr:rowOff>2400005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43275" y="4038600"/>
          <a:ext cx="6628571" cy="23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8</xdr:row>
      <xdr:rowOff>323850</xdr:rowOff>
    </xdr:from>
    <xdr:to>
      <xdr:col>13</xdr:col>
      <xdr:colOff>608689</xdr:colOff>
      <xdr:row>9</xdr:row>
      <xdr:rowOff>342807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8900" y="7038975"/>
          <a:ext cx="7285714" cy="7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47625</xdr:rowOff>
    </xdr:from>
    <xdr:to>
      <xdr:col>13</xdr:col>
      <xdr:colOff>542925</xdr:colOff>
      <xdr:row>11</xdr:row>
      <xdr:rowOff>28487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" r="894"/>
        <a:stretch/>
      </xdr:blipFill>
      <xdr:spPr>
        <a:xfrm>
          <a:off x="3048000" y="7629525"/>
          <a:ext cx="7191375" cy="7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48032</xdr:rowOff>
    </xdr:from>
    <xdr:to>
      <xdr:col>13</xdr:col>
      <xdr:colOff>170614</xdr:colOff>
      <xdr:row>11</xdr:row>
      <xdr:rowOff>2190464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9925" y="8934857"/>
          <a:ext cx="6266614" cy="2142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12</xdr:row>
      <xdr:rowOff>10717</xdr:rowOff>
    </xdr:from>
    <xdr:to>
      <xdr:col>13</xdr:col>
      <xdr:colOff>361038</xdr:colOff>
      <xdr:row>13</xdr:row>
      <xdr:rowOff>28455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784"/>
        <a:stretch/>
      </xdr:blipFill>
      <xdr:spPr>
        <a:xfrm>
          <a:off x="3124199" y="10631092"/>
          <a:ext cx="6933289" cy="92261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295274</xdr:colOff>
      <xdr:row>13</xdr:row>
      <xdr:rowOff>21511</xdr:rowOff>
    </xdr:from>
    <xdr:to>
      <xdr:col>13</xdr:col>
      <xdr:colOff>408677</xdr:colOff>
      <xdr:row>14</xdr:row>
      <xdr:rowOff>9355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95599" y="12213511"/>
          <a:ext cx="6819003" cy="1292769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14</xdr:row>
      <xdr:rowOff>77561</xdr:rowOff>
    </xdr:from>
    <xdr:to>
      <xdr:col>13</xdr:col>
      <xdr:colOff>464491</xdr:colOff>
      <xdr:row>15</xdr:row>
      <xdr:rowOff>1154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79989" y="12945836"/>
          <a:ext cx="6980952" cy="16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133350</xdr:rowOff>
    </xdr:from>
    <xdr:to>
      <xdr:col>13</xdr:col>
      <xdr:colOff>532505</xdr:colOff>
      <xdr:row>16</xdr:row>
      <xdr:rowOff>96208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67050" y="14763750"/>
          <a:ext cx="7161905" cy="8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160565</xdr:colOff>
      <xdr:row>15</xdr:row>
      <xdr:rowOff>872217</xdr:rowOff>
    </xdr:from>
    <xdr:to>
      <xdr:col>13</xdr:col>
      <xdr:colOff>429987</xdr:colOff>
      <xdr:row>17</xdr:row>
      <xdr:rowOff>117795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51415" y="15397842"/>
          <a:ext cx="6975022" cy="1064853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16</xdr:row>
      <xdr:rowOff>994682</xdr:rowOff>
    </xdr:from>
    <xdr:to>
      <xdr:col>13</xdr:col>
      <xdr:colOff>468583</xdr:colOff>
      <xdr:row>18</xdr:row>
      <xdr:rowOff>3892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48025" y="16463282"/>
          <a:ext cx="6917008" cy="1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208189</xdr:colOff>
      <xdr:row>18</xdr:row>
      <xdr:rowOff>36740</xdr:rowOff>
    </xdr:from>
    <xdr:to>
      <xdr:col>13</xdr:col>
      <xdr:colOff>591025</xdr:colOff>
      <xdr:row>18</xdr:row>
      <xdr:rowOff>770073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01760" y="18079811"/>
          <a:ext cx="7118372" cy="733333"/>
        </a:xfrm>
        <a:prstGeom prst="rect">
          <a:avLst/>
        </a:prstGeom>
      </xdr:spPr>
    </xdr:pic>
    <xdr:clientData/>
  </xdr:twoCellAnchor>
  <xdr:twoCellAnchor editAs="oneCell">
    <xdr:from>
      <xdr:col>2</xdr:col>
      <xdr:colOff>457199</xdr:colOff>
      <xdr:row>19</xdr:row>
      <xdr:rowOff>24490</xdr:rowOff>
    </xdr:from>
    <xdr:to>
      <xdr:col>13</xdr:col>
      <xdr:colOff>38610</xdr:colOff>
      <xdr:row>19</xdr:row>
      <xdr:rowOff>1749646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49" y="19017340"/>
          <a:ext cx="6287011" cy="172515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219074</xdr:colOff>
      <xdr:row>20</xdr:row>
      <xdr:rowOff>49222</xdr:rowOff>
    </xdr:from>
    <xdr:to>
      <xdr:col>13</xdr:col>
      <xdr:colOff>284873</xdr:colOff>
      <xdr:row>21</xdr:row>
      <xdr:rowOff>107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209924" y="20889922"/>
          <a:ext cx="6771399" cy="126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</xdr:colOff>
      <xdr:row>21</xdr:row>
      <xdr:rowOff>54429</xdr:rowOff>
    </xdr:from>
    <xdr:to>
      <xdr:col>13</xdr:col>
      <xdr:colOff>591011</xdr:colOff>
      <xdr:row>21</xdr:row>
      <xdr:rowOff>1050348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06460" y="22523904"/>
          <a:ext cx="7190476" cy="995919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22</xdr:row>
      <xdr:rowOff>198664</xdr:rowOff>
    </xdr:from>
    <xdr:to>
      <xdr:col>13</xdr:col>
      <xdr:colOff>626373</xdr:colOff>
      <xdr:row>23</xdr:row>
      <xdr:rowOff>27145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001735" y="22936200"/>
          <a:ext cx="7356467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23</xdr:row>
      <xdr:rowOff>65314</xdr:rowOff>
    </xdr:from>
    <xdr:to>
      <xdr:col>13</xdr:col>
      <xdr:colOff>656306</xdr:colOff>
      <xdr:row>23</xdr:row>
      <xdr:rowOff>646266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09850" y="24382639"/>
          <a:ext cx="7352381" cy="580952"/>
        </a:xfrm>
        <a:prstGeom prst="rect">
          <a:avLst/>
        </a:prstGeom>
      </xdr:spPr>
    </xdr:pic>
    <xdr:clientData/>
  </xdr:twoCellAnchor>
  <xdr:twoCellAnchor>
    <xdr:from>
      <xdr:col>11</xdr:col>
      <xdr:colOff>9066</xdr:colOff>
      <xdr:row>4</xdr:row>
      <xdr:rowOff>9525</xdr:rowOff>
    </xdr:from>
    <xdr:to>
      <xdr:col>11</xdr:col>
      <xdr:colOff>9525</xdr:colOff>
      <xdr:row>23</xdr:row>
      <xdr:rowOff>665316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flipH="1">
          <a:off x="8095791" y="1285875"/>
          <a:ext cx="459" cy="236967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704850</xdr:rowOff>
    </xdr:from>
    <xdr:to>
      <xdr:col>8</xdr:col>
      <xdr:colOff>9066</xdr:colOff>
      <xdr:row>23</xdr:row>
      <xdr:rowOff>684366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>
          <a:off x="6248400" y="1619250"/>
          <a:ext cx="18591" cy="1445751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4</xdr:row>
      <xdr:rowOff>0</xdr:rowOff>
    </xdr:from>
    <xdr:to>
      <xdr:col>5</xdr:col>
      <xdr:colOff>9066</xdr:colOff>
      <xdr:row>23</xdr:row>
      <xdr:rowOff>684366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>
          <a:off x="4419600" y="1638300"/>
          <a:ext cx="18591" cy="144384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904875</xdr:rowOff>
    </xdr:from>
    <xdr:to>
      <xdr:col>14</xdr:col>
      <xdr:colOff>9525</xdr:colOff>
      <xdr:row>5</xdr:row>
      <xdr:rowOff>0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>
          <a:off x="3000375" y="1571625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771525</xdr:rowOff>
    </xdr:from>
    <xdr:to>
      <xdr:col>14</xdr:col>
      <xdr:colOff>0</xdr:colOff>
      <xdr:row>6</xdr:row>
      <xdr:rowOff>0</xdr:rowOff>
    </xdr:to>
    <xdr:cxnSp macro="">
      <xdr:nvCxnSpPr>
        <xdr:cNvPr id="42" name="Conector reto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>
          <a:off x="2990850" y="2352675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1638300</xdr:rowOff>
    </xdr:from>
    <xdr:to>
      <xdr:col>14</xdr:col>
      <xdr:colOff>0</xdr:colOff>
      <xdr:row>7</xdr:row>
      <xdr:rowOff>0</xdr:rowOff>
    </xdr:to>
    <xdr:cxnSp macro="">
      <xdr:nvCxnSpPr>
        <xdr:cNvPr id="43" name="Conector reto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>
          <a:off x="2990850" y="4000500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14</xdr:col>
      <xdr:colOff>9525</xdr:colOff>
      <xdr:row>8</xdr:row>
      <xdr:rowOff>0</xdr:rowOff>
    </xdr:to>
    <xdr:cxnSp macro="">
      <xdr:nvCxnSpPr>
        <xdr:cNvPr id="44" name="Conector reto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>
          <a:off x="2609850" y="70770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962025</xdr:rowOff>
    </xdr:from>
    <xdr:to>
      <xdr:col>14</xdr:col>
      <xdr:colOff>0</xdr:colOff>
      <xdr:row>11</xdr:row>
      <xdr:rowOff>0</xdr:rowOff>
    </xdr:to>
    <xdr:cxnSp macro="">
      <xdr:nvCxnSpPr>
        <xdr:cNvPr id="45" name="Conector reto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>
          <a:off x="2990850" y="8553450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1009650</xdr:rowOff>
    </xdr:from>
    <xdr:to>
      <xdr:col>14</xdr:col>
      <xdr:colOff>9525</xdr:colOff>
      <xdr:row>10</xdr:row>
      <xdr:rowOff>0</xdr:rowOff>
    </xdr:to>
    <xdr:cxnSp macro="">
      <xdr:nvCxnSpPr>
        <xdr:cNvPr id="46" name="Conector reto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>
          <a:off x="3000375" y="7581900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2343150</xdr:colOff>
      <xdr:row>11</xdr:row>
      <xdr:rowOff>2200275</xdr:rowOff>
    </xdr:from>
    <xdr:to>
      <xdr:col>13</xdr:col>
      <xdr:colOff>676274</xdr:colOff>
      <xdr:row>12</xdr:row>
      <xdr:rowOff>1192</xdr:rowOff>
    </xdr:to>
    <xdr:cxnSp macro="">
      <xdr:nvCxnSpPr>
        <xdr:cNvPr id="47" name="Conector reto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>
          <a:off x="2562225" y="11449050"/>
          <a:ext cx="7419974" cy="1071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12</xdr:row>
      <xdr:rowOff>1029892</xdr:rowOff>
    </xdr:from>
    <xdr:to>
      <xdr:col>13</xdr:col>
      <xdr:colOff>676274</xdr:colOff>
      <xdr:row>13</xdr:row>
      <xdr:rowOff>1192</xdr:rowOff>
    </xdr:to>
    <xdr:cxnSp macro="">
      <xdr:nvCxnSpPr>
        <xdr:cNvPr id="48" name="Conector reto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>
          <a:off x="2990849" y="11650267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0</xdr:rowOff>
    </xdr:from>
    <xdr:to>
      <xdr:col>13</xdr:col>
      <xdr:colOff>666750</xdr:colOff>
      <xdr:row>14</xdr:row>
      <xdr:rowOff>0</xdr:rowOff>
    </xdr:to>
    <xdr:cxnSp macro="">
      <xdr:nvCxnSpPr>
        <xdr:cNvPr id="49" name="Conector reto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>
          <a:off x="2581275" y="13411200"/>
          <a:ext cx="7391400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1752600</xdr:rowOff>
    </xdr:from>
    <xdr:to>
      <xdr:col>13</xdr:col>
      <xdr:colOff>657225</xdr:colOff>
      <xdr:row>15</xdr:row>
      <xdr:rowOff>0</xdr:rowOff>
    </xdr:to>
    <xdr:cxnSp macro="">
      <xdr:nvCxnSpPr>
        <xdr:cNvPr id="50" name="Conector reto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>
          <a:off x="2971800" y="14620875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2379889</xdr:colOff>
      <xdr:row>15</xdr:row>
      <xdr:rowOff>934811</xdr:rowOff>
    </xdr:from>
    <xdr:to>
      <xdr:col>13</xdr:col>
      <xdr:colOff>674914</xdr:colOff>
      <xdr:row>16</xdr:row>
      <xdr:rowOff>1361</xdr:rowOff>
    </xdr:to>
    <xdr:cxnSp macro="">
      <xdr:nvCxnSpPr>
        <xdr:cNvPr id="51" name="Conector reto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>
          <a:off x="2989489" y="15565211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14</xdr:col>
      <xdr:colOff>109904</xdr:colOff>
      <xdr:row>17</xdr:row>
      <xdr:rowOff>0</xdr:rowOff>
    </xdr:to>
    <xdr:cxnSp macro="">
      <xdr:nvCxnSpPr>
        <xdr:cNvPr id="52" name="Conector reto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>
          <a:off x="2601058" y="17145000"/>
          <a:ext cx="7473461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17</xdr:row>
      <xdr:rowOff>1581150</xdr:rowOff>
    </xdr:from>
    <xdr:to>
      <xdr:col>13</xdr:col>
      <xdr:colOff>666750</xdr:colOff>
      <xdr:row>18</xdr:row>
      <xdr:rowOff>0</xdr:rowOff>
    </xdr:to>
    <xdr:cxnSp macro="">
      <xdr:nvCxnSpPr>
        <xdr:cNvPr id="53" name="Conector reto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>
          <a:off x="2981325" y="18164175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18</xdr:row>
      <xdr:rowOff>809625</xdr:rowOff>
    </xdr:from>
    <xdr:to>
      <xdr:col>13</xdr:col>
      <xdr:colOff>666750</xdr:colOff>
      <xdr:row>19</xdr:row>
      <xdr:rowOff>0</xdr:rowOff>
    </xdr:to>
    <xdr:cxnSp macro="">
      <xdr:nvCxnSpPr>
        <xdr:cNvPr id="54" name="Conector reto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>
          <a:off x="2981325" y="18983325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19</xdr:row>
      <xdr:rowOff>1895475</xdr:rowOff>
    </xdr:from>
    <xdr:to>
      <xdr:col>14</xdr:col>
      <xdr:colOff>47625</xdr:colOff>
      <xdr:row>20</xdr:row>
      <xdr:rowOff>0</xdr:rowOff>
    </xdr:to>
    <xdr:cxnSp macro="">
      <xdr:nvCxnSpPr>
        <xdr:cNvPr id="55" name="Conector reto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>
          <a:off x="2581275" y="21135975"/>
          <a:ext cx="7448550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1314450</xdr:rowOff>
    </xdr:from>
    <xdr:to>
      <xdr:col>14</xdr:col>
      <xdr:colOff>76200</xdr:colOff>
      <xdr:row>21</xdr:row>
      <xdr:rowOff>0</xdr:rowOff>
    </xdr:to>
    <xdr:cxnSp macro="">
      <xdr:nvCxnSpPr>
        <xdr:cNvPr id="56" name="Conector reto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>
          <a:off x="2600325" y="22459950"/>
          <a:ext cx="74580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2295525</xdr:colOff>
      <xdr:row>22</xdr:row>
      <xdr:rowOff>0</xdr:rowOff>
    </xdr:from>
    <xdr:to>
      <xdr:col>13</xdr:col>
      <xdr:colOff>676274</xdr:colOff>
      <xdr:row>22</xdr:row>
      <xdr:rowOff>1597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>
          <a:off x="2514600" y="23593425"/>
          <a:ext cx="7467599" cy="159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22</xdr:row>
      <xdr:rowOff>877897</xdr:rowOff>
    </xdr:from>
    <xdr:to>
      <xdr:col>13</xdr:col>
      <xdr:colOff>676274</xdr:colOff>
      <xdr:row>23</xdr:row>
      <xdr:rowOff>1597</xdr:rowOff>
    </xdr:to>
    <xdr:cxnSp macro="">
      <xdr:nvCxnSpPr>
        <xdr:cNvPr id="58" name="Conector reto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>
          <a:off x="2990849" y="23985547"/>
          <a:ext cx="73818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66" name="Retângulo 65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2</xdr:col>
      <xdr:colOff>514351</xdr:colOff>
      <xdr:row>0</xdr:row>
      <xdr:rowOff>390525</xdr:rowOff>
    </xdr:to>
    <xdr:sp macro="" textlink="">
      <xdr:nvSpPr>
        <xdr:cNvPr id="67" name="Retângulo 66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2</xdr:col>
      <xdr:colOff>542925</xdr:colOff>
      <xdr:row>0</xdr:row>
      <xdr:rowOff>142875</xdr:rowOff>
    </xdr:from>
    <xdr:to>
      <xdr:col>7</xdr:col>
      <xdr:colOff>0</xdr:colOff>
      <xdr:row>0</xdr:row>
      <xdr:rowOff>390525</xdr:rowOff>
    </xdr:to>
    <xdr:sp macro="" textlink="">
      <xdr:nvSpPr>
        <xdr:cNvPr id="68" name="Retângulo 6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7</xdr:col>
      <xdr:colOff>28576</xdr:colOff>
      <xdr:row>0</xdr:row>
      <xdr:rowOff>142875</xdr:rowOff>
    </xdr:from>
    <xdr:to>
      <xdr:col>9</xdr:col>
      <xdr:colOff>161926</xdr:colOff>
      <xdr:row>0</xdr:row>
      <xdr:rowOff>390525</xdr:rowOff>
    </xdr:to>
    <xdr:sp macro="" textlink="">
      <xdr:nvSpPr>
        <xdr:cNvPr id="69" name="Retângulo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/>
      </xdr:nvSpPr>
      <xdr:spPr>
        <a:xfrm>
          <a:off x="5676901" y="142875"/>
          <a:ext cx="135255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9</xdr:col>
      <xdr:colOff>190501</xdr:colOff>
      <xdr:row>0</xdr:row>
      <xdr:rowOff>142875</xdr:rowOff>
    </xdr:from>
    <xdr:to>
      <xdr:col>11</xdr:col>
      <xdr:colOff>323851</xdr:colOff>
      <xdr:row>0</xdr:row>
      <xdr:rowOff>390525</xdr:rowOff>
    </xdr:to>
    <xdr:sp macro="" textlink="">
      <xdr:nvSpPr>
        <xdr:cNvPr id="70" name="Retângulo 69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/>
      </xdr:nvSpPr>
      <xdr:spPr>
        <a:xfrm>
          <a:off x="7058026" y="142875"/>
          <a:ext cx="13525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11</xdr:col>
      <xdr:colOff>358140</xdr:colOff>
      <xdr:row>0</xdr:row>
      <xdr:rowOff>144780</xdr:rowOff>
    </xdr:from>
    <xdr:to>
      <xdr:col>13</xdr:col>
      <xdr:colOff>684531</xdr:colOff>
      <xdr:row>0</xdr:row>
      <xdr:rowOff>391372</xdr:rowOff>
    </xdr:to>
    <xdr:sp macro="" textlink="">
      <xdr:nvSpPr>
        <xdr:cNvPr id="5" name="Retângulo 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AD1B9DDB-26A9-4F6C-AC13-BC5607DCFC25}"/>
            </a:ext>
          </a:extLst>
        </xdr:cNvPr>
        <xdr:cNvSpPr/>
      </xdr:nvSpPr>
      <xdr:spPr>
        <a:xfrm>
          <a:off x="8519160" y="144780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9525</xdr:rowOff>
    </xdr:from>
    <xdr:to>
      <xdr:col>13</xdr:col>
      <xdr:colOff>589642</xdr:colOff>
      <xdr:row>5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476375"/>
          <a:ext cx="7266667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</xdr:row>
      <xdr:rowOff>0</xdr:rowOff>
    </xdr:from>
    <xdr:to>
      <xdr:col>13</xdr:col>
      <xdr:colOff>619126</xdr:colOff>
      <xdr:row>6</xdr:row>
      <xdr:rowOff>76100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" r="1276"/>
        <a:stretch/>
      </xdr:blipFill>
      <xdr:spPr>
        <a:xfrm>
          <a:off x="2695575" y="2190750"/>
          <a:ext cx="7229476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47625</xdr:rowOff>
    </xdr:from>
    <xdr:to>
      <xdr:col>13</xdr:col>
      <xdr:colOff>618227</xdr:colOff>
      <xdr:row>6</xdr:row>
      <xdr:rowOff>1476196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2962275"/>
          <a:ext cx="7180952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38100</xdr:rowOff>
    </xdr:from>
    <xdr:to>
      <xdr:col>13</xdr:col>
      <xdr:colOff>275396</xdr:colOff>
      <xdr:row>7</xdr:row>
      <xdr:rowOff>2400005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0" y="4524375"/>
          <a:ext cx="6628571" cy="23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8</xdr:row>
      <xdr:rowOff>323850</xdr:rowOff>
    </xdr:from>
    <xdr:to>
      <xdr:col>13</xdr:col>
      <xdr:colOff>608689</xdr:colOff>
      <xdr:row>9</xdr:row>
      <xdr:rowOff>342807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8900" y="7229475"/>
          <a:ext cx="7285714" cy="7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47625</xdr:rowOff>
    </xdr:from>
    <xdr:to>
      <xdr:col>13</xdr:col>
      <xdr:colOff>542925</xdr:colOff>
      <xdr:row>11</xdr:row>
      <xdr:rowOff>28487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" r="894"/>
        <a:stretch/>
      </xdr:blipFill>
      <xdr:spPr>
        <a:xfrm>
          <a:off x="2657475" y="8401050"/>
          <a:ext cx="7191375" cy="7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48032</xdr:rowOff>
    </xdr:from>
    <xdr:to>
      <xdr:col>13</xdr:col>
      <xdr:colOff>170614</xdr:colOff>
      <xdr:row>11</xdr:row>
      <xdr:rowOff>2190464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9925" y="9125357"/>
          <a:ext cx="6266614" cy="2142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12</xdr:row>
      <xdr:rowOff>10717</xdr:rowOff>
    </xdr:from>
    <xdr:to>
      <xdr:col>13</xdr:col>
      <xdr:colOff>361038</xdr:colOff>
      <xdr:row>13</xdr:row>
      <xdr:rowOff>28455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784"/>
        <a:stretch/>
      </xdr:blipFill>
      <xdr:spPr>
        <a:xfrm>
          <a:off x="2733674" y="11297842"/>
          <a:ext cx="6933289" cy="92261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295274</xdr:colOff>
      <xdr:row>13</xdr:row>
      <xdr:rowOff>21511</xdr:rowOff>
    </xdr:from>
    <xdr:to>
      <xdr:col>13</xdr:col>
      <xdr:colOff>408677</xdr:colOff>
      <xdr:row>14</xdr:row>
      <xdr:rowOff>9355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95599" y="12213511"/>
          <a:ext cx="6819003" cy="1292769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14</xdr:row>
      <xdr:rowOff>77561</xdr:rowOff>
    </xdr:from>
    <xdr:to>
      <xdr:col>13</xdr:col>
      <xdr:colOff>464491</xdr:colOff>
      <xdr:row>15</xdr:row>
      <xdr:rowOff>1154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464" y="13574486"/>
          <a:ext cx="6980952" cy="16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133350</xdr:rowOff>
    </xdr:from>
    <xdr:to>
      <xdr:col>13</xdr:col>
      <xdr:colOff>532505</xdr:colOff>
      <xdr:row>16</xdr:row>
      <xdr:rowOff>96208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76525" y="15363825"/>
          <a:ext cx="7161905" cy="810583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160565</xdr:colOff>
      <xdr:row>15</xdr:row>
      <xdr:rowOff>872217</xdr:rowOff>
    </xdr:from>
    <xdr:to>
      <xdr:col>13</xdr:col>
      <xdr:colOff>429987</xdr:colOff>
      <xdr:row>17</xdr:row>
      <xdr:rowOff>117795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60890" y="16074117"/>
          <a:ext cx="6975022" cy="1064853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16</xdr:row>
      <xdr:rowOff>994682</xdr:rowOff>
    </xdr:from>
    <xdr:to>
      <xdr:col>13</xdr:col>
      <xdr:colOff>468583</xdr:colOff>
      <xdr:row>18</xdr:row>
      <xdr:rowOff>3892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0" y="17025257"/>
          <a:ext cx="6917008" cy="1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208189</xdr:colOff>
      <xdr:row>18</xdr:row>
      <xdr:rowOff>36740</xdr:rowOff>
    </xdr:from>
    <xdr:to>
      <xdr:col>13</xdr:col>
      <xdr:colOff>591025</xdr:colOff>
      <xdr:row>18</xdr:row>
      <xdr:rowOff>770073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08514" y="18581915"/>
          <a:ext cx="7088436" cy="733333"/>
        </a:xfrm>
        <a:prstGeom prst="rect">
          <a:avLst/>
        </a:prstGeom>
      </xdr:spPr>
    </xdr:pic>
    <xdr:clientData/>
  </xdr:twoCellAnchor>
  <xdr:twoCellAnchor editAs="oneCell">
    <xdr:from>
      <xdr:col>2</xdr:col>
      <xdr:colOff>457199</xdr:colOff>
      <xdr:row>19</xdr:row>
      <xdr:rowOff>24490</xdr:rowOff>
    </xdr:from>
    <xdr:to>
      <xdr:col>13</xdr:col>
      <xdr:colOff>38610</xdr:colOff>
      <xdr:row>19</xdr:row>
      <xdr:rowOff>1749646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57524" y="19350715"/>
          <a:ext cx="6287011" cy="172515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219074</xdr:colOff>
      <xdr:row>20</xdr:row>
      <xdr:rowOff>49222</xdr:rowOff>
    </xdr:from>
    <xdr:to>
      <xdr:col>13</xdr:col>
      <xdr:colOff>284873</xdr:colOff>
      <xdr:row>21</xdr:row>
      <xdr:rowOff>107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399" y="21280447"/>
          <a:ext cx="6771399" cy="126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</xdr:colOff>
      <xdr:row>21</xdr:row>
      <xdr:rowOff>54429</xdr:rowOff>
    </xdr:from>
    <xdr:to>
      <xdr:col>13</xdr:col>
      <xdr:colOff>591011</xdr:colOff>
      <xdr:row>21</xdr:row>
      <xdr:rowOff>1050348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06460" y="22609629"/>
          <a:ext cx="7190476" cy="995919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22</xdr:row>
      <xdr:rowOff>198664</xdr:rowOff>
    </xdr:from>
    <xdr:to>
      <xdr:col>13</xdr:col>
      <xdr:colOff>626373</xdr:colOff>
      <xdr:row>23</xdr:row>
      <xdr:rowOff>27145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08489" y="23877814"/>
          <a:ext cx="7323809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23</xdr:row>
      <xdr:rowOff>65314</xdr:rowOff>
    </xdr:from>
    <xdr:to>
      <xdr:col>13</xdr:col>
      <xdr:colOff>656306</xdr:colOff>
      <xdr:row>23</xdr:row>
      <xdr:rowOff>646266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09850" y="24468364"/>
          <a:ext cx="7352381" cy="580952"/>
        </a:xfrm>
        <a:prstGeom prst="rect">
          <a:avLst/>
        </a:prstGeom>
      </xdr:spPr>
    </xdr:pic>
    <xdr:clientData/>
  </xdr:twoCellAnchor>
  <xdr:twoCellAnchor>
    <xdr:from>
      <xdr:col>11</xdr:col>
      <xdr:colOff>9066</xdr:colOff>
      <xdr:row>4</xdr:row>
      <xdr:rowOff>9525</xdr:rowOff>
    </xdr:from>
    <xdr:to>
      <xdr:col>11</xdr:col>
      <xdr:colOff>9525</xdr:colOff>
      <xdr:row>23</xdr:row>
      <xdr:rowOff>665316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flipH="1">
          <a:off x="8095791" y="1476375"/>
          <a:ext cx="459" cy="23591991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704850</xdr:rowOff>
    </xdr:from>
    <xdr:to>
      <xdr:col>8</xdr:col>
      <xdr:colOff>9066</xdr:colOff>
      <xdr:row>23</xdr:row>
      <xdr:rowOff>684366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>
          <a:off x="62484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4</xdr:row>
      <xdr:rowOff>0</xdr:rowOff>
    </xdr:from>
    <xdr:to>
      <xdr:col>5</xdr:col>
      <xdr:colOff>9066</xdr:colOff>
      <xdr:row>23</xdr:row>
      <xdr:rowOff>684366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>
          <a:off x="44196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904875</xdr:rowOff>
    </xdr:from>
    <xdr:to>
      <xdr:col>14</xdr:col>
      <xdr:colOff>9525</xdr:colOff>
      <xdr:row>5</xdr:row>
      <xdr:rowOff>0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>
          <a:off x="2609850" y="21907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771525</xdr:rowOff>
    </xdr:from>
    <xdr:to>
      <xdr:col>14</xdr:col>
      <xdr:colOff>0</xdr:colOff>
      <xdr:row>6</xdr:row>
      <xdr:rowOff>0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>
          <a:off x="2600325" y="29146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1638300</xdr:rowOff>
    </xdr:from>
    <xdr:to>
      <xdr:col>14</xdr:col>
      <xdr:colOff>0</xdr:colOff>
      <xdr:row>7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>
          <a:off x="2600325" y="44862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14</xdr:col>
      <xdr:colOff>9525</xdr:colOff>
      <xdr:row>8</xdr:row>
      <xdr:rowOff>0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>
          <a:off x="2609850" y="69056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962025</xdr:rowOff>
    </xdr:from>
    <xdr:to>
      <xdr:col>14</xdr:col>
      <xdr:colOff>0</xdr:colOff>
      <xdr:row>11</xdr:row>
      <xdr:rowOff>0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>
          <a:off x="2600325" y="90773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1009650</xdr:rowOff>
    </xdr:from>
    <xdr:to>
      <xdr:col>14</xdr:col>
      <xdr:colOff>9525</xdr:colOff>
      <xdr:row>10</xdr:row>
      <xdr:rowOff>0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>
          <a:off x="2609850" y="83534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2343150</xdr:colOff>
      <xdr:row>11</xdr:row>
      <xdr:rowOff>2200275</xdr:rowOff>
    </xdr:from>
    <xdr:to>
      <xdr:col>13</xdr:col>
      <xdr:colOff>676274</xdr:colOff>
      <xdr:row>12</xdr:row>
      <xdr:rowOff>1192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>
          <a:off x="2562225" y="11277600"/>
          <a:ext cx="7419974" cy="1071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12</xdr:row>
      <xdr:rowOff>1029892</xdr:rowOff>
    </xdr:from>
    <xdr:to>
      <xdr:col>13</xdr:col>
      <xdr:colOff>676274</xdr:colOff>
      <xdr:row>13</xdr:row>
      <xdr:rowOff>1192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>
          <a:off x="2600324" y="12193192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0</xdr:rowOff>
    </xdr:from>
    <xdr:to>
      <xdr:col>13</xdr:col>
      <xdr:colOff>666750</xdr:colOff>
      <xdr:row>14</xdr:row>
      <xdr:rowOff>0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>
          <a:off x="2581275" y="13496925"/>
          <a:ext cx="7391400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1752600</xdr:rowOff>
    </xdr:from>
    <xdr:to>
      <xdr:col>13</xdr:col>
      <xdr:colOff>657225</xdr:colOff>
      <xdr:row>15</xdr:row>
      <xdr:rowOff>0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>
          <a:off x="2581275" y="152304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2379889</xdr:colOff>
      <xdr:row>15</xdr:row>
      <xdr:rowOff>934811</xdr:rowOff>
    </xdr:from>
    <xdr:to>
      <xdr:col>13</xdr:col>
      <xdr:colOff>674914</xdr:colOff>
      <xdr:row>16</xdr:row>
      <xdr:rowOff>1361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>
          <a:off x="2598964" y="16079561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14</xdr:col>
      <xdr:colOff>109904</xdr:colOff>
      <xdr:row>17</xdr:row>
      <xdr:rowOff>0</xdr:rowOff>
    </xdr:to>
    <xdr:cxnSp macro="">
      <xdr:nvCxnSpPr>
        <xdr:cNvPr id="35" name="Conector reto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>
          <a:off x="2600325" y="17021175"/>
          <a:ext cx="7491779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17</xdr:row>
      <xdr:rowOff>1581150</xdr:rowOff>
    </xdr:from>
    <xdr:to>
      <xdr:col>13</xdr:col>
      <xdr:colOff>666750</xdr:colOff>
      <xdr:row>18</xdr:row>
      <xdr:rowOff>0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>
          <a:off x="2590800" y="185451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18</xdr:row>
      <xdr:rowOff>809625</xdr:rowOff>
    </xdr:from>
    <xdr:to>
      <xdr:col>13</xdr:col>
      <xdr:colOff>666750</xdr:colOff>
      <xdr:row>19</xdr:row>
      <xdr:rowOff>0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>
          <a:off x="2590800" y="193262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19</xdr:row>
      <xdr:rowOff>1895475</xdr:rowOff>
    </xdr:from>
    <xdr:to>
      <xdr:col>14</xdr:col>
      <xdr:colOff>47625</xdr:colOff>
      <xdr:row>20</xdr:row>
      <xdr:rowOff>0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>
          <a:off x="2581275" y="21221700"/>
          <a:ext cx="7448550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1314450</xdr:rowOff>
    </xdr:from>
    <xdr:to>
      <xdr:col>14</xdr:col>
      <xdr:colOff>76200</xdr:colOff>
      <xdr:row>21</xdr:row>
      <xdr:rowOff>0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>
          <a:off x="2600325" y="22545675"/>
          <a:ext cx="74580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2295525</xdr:colOff>
      <xdr:row>22</xdr:row>
      <xdr:rowOff>0</xdr:rowOff>
    </xdr:from>
    <xdr:to>
      <xdr:col>13</xdr:col>
      <xdr:colOff>676274</xdr:colOff>
      <xdr:row>22</xdr:row>
      <xdr:rowOff>1597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>
          <a:off x="2514600" y="23679150"/>
          <a:ext cx="7467599" cy="159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22</xdr:row>
      <xdr:rowOff>877897</xdr:rowOff>
    </xdr:from>
    <xdr:to>
      <xdr:col>13</xdr:col>
      <xdr:colOff>676274</xdr:colOff>
      <xdr:row>23</xdr:row>
      <xdr:rowOff>1597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>
          <a:off x="2600324" y="24404647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43" name="Retângulo 4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</a:t>
          </a:r>
          <a:r>
            <a:rPr lang="pt-BR" sz="1400" b="1" baseline="0"/>
            <a:t>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2</xdr:col>
      <xdr:colOff>514351</xdr:colOff>
      <xdr:row>0</xdr:row>
      <xdr:rowOff>390525</xdr:rowOff>
    </xdr:to>
    <xdr:sp macro="" textlink="">
      <xdr:nvSpPr>
        <xdr:cNvPr id="44" name="Retângulo 4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2</xdr:col>
      <xdr:colOff>542925</xdr:colOff>
      <xdr:row>0</xdr:row>
      <xdr:rowOff>142875</xdr:rowOff>
    </xdr:from>
    <xdr:to>
      <xdr:col>7</xdr:col>
      <xdr:colOff>0</xdr:colOff>
      <xdr:row>0</xdr:row>
      <xdr:rowOff>390525</xdr:rowOff>
    </xdr:to>
    <xdr:sp macro="" textlink="">
      <xdr:nvSpPr>
        <xdr:cNvPr id="45" name="Retângulo 4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7</xdr:col>
      <xdr:colOff>28576</xdr:colOff>
      <xdr:row>0</xdr:row>
      <xdr:rowOff>142875</xdr:rowOff>
    </xdr:from>
    <xdr:to>
      <xdr:col>9</xdr:col>
      <xdr:colOff>161926</xdr:colOff>
      <xdr:row>0</xdr:row>
      <xdr:rowOff>390525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/>
      </xdr:nvSpPr>
      <xdr:spPr>
        <a:xfrm>
          <a:off x="5676901" y="142875"/>
          <a:ext cx="135255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9</xdr:col>
      <xdr:colOff>190501</xdr:colOff>
      <xdr:row>0</xdr:row>
      <xdr:rowOff>142875</xdr:rowOff>
    </xdr:from>
    <xdr:to>
      <xdr:col>11</xdr:col>
      <xdr:colOff>323851</xdr:colOff>
      <xdr:row>0</xdr:row>
      <xdr:rowOff>390525</xdr:rowOff>
    </xdr:to>
    <xdr:sp macro="" textlink="">
      <xdr:nvSpPr>
        <xdr:cNvPr id="47" name="Retângulo 46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/>
      </xdr:nvSpPr>
      <xdr:spPr>
        <a:xfrm>
          <a:off x="7058026" y="142875"/>
          <a:ext cx="13525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11</xdr:col>
      <xdr:colOff>365760</xdr:colOff>
      <xdr:row>0</xdr:row>
      <xdr:rowOff>144780</xdr:rowOff>
    </xdr:from>
    <xdr:to>
      <xdr:col>13</xdr:col>
      <xdr:colOff>692151</xdr:colOff>
      <xdr:row>0</xdr:row>
      <xdr:rowOff>391372</xdr:rowOff>
    </xdr:to>
    <xdr:sp macro="" textlink="">
      <xdr:nvSpPr>
        <xdr:cNvPr id="48" name="Retângulo 4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9DCE7F67-8E07-4035-9491-256300B22C59}"/>
            </a:ext>
          </a:extLst>
        </xdr:cNvPr>
        <xdr:cNvSpPr/>
      </xdr:nvSpPr>
      <xdr:spPr>
        <a:xfrm>
          <a:off x="8526780" y="144780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9525</xdr:rowOff>
    </xdr:from>
    <xdr:to>
      <xdr:col>13</xdr:col>
      <xdr:colOff>589642</xdr:colOff>
      <xdr:row>5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476375"/>
          <a:ext cx="7266667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</xdr:row>
      <xdr:rowOff>0</xdr:rowOff>
    </xdr:from>
    <xdr:to>
      <xdr:col>13</xdr:col>
      <xdr:colOff>619126</xdr:colOff>
      <xdr:row>6</xdr:row>
      <xdr:rowOff>76100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" r="1276"/>
        <a:stretch/>
      </xdr:blipFill>
      <xdr:spPr>
        <a:xfrm>
          <a:off x="2695575" y="2190750"/>
          <a:ext cx="7229476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47625</xdr:rowOff>
    </xdr:from>
    <xdr:to>
      <xdr:col>13</xdr:col>
      <xdr:colOff>618227</xdr:colOff>
      <xdr:row>6</xdr:row>
      <xdr:rowOff>1476196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2962275"/>
          <a:ext cx="7180952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38100</xdr:rowOff>
    </xdr:from>
    <xdr:to>
      <xdr:col>13</xdr:col>
      <xdr:colOff>275396</xdr:colOff>
      <xdr:row>7</xdr:row>
      <xdr:rowOff>2400005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0" y="4524375"/>
          <a:ext cx="6628571" cy="23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8</xdr:row>
      <xdr:rowOff>323850</xdr:rowOff>
    </xdr:from>
    <xdr:to>
      <xdr:col>13</xdr:col>
      <xdr:colOff>608689</xdr:colOff>
      <xdr:row>9</xdr:row>
      <xdr:rowOff>342807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8900" y="7229475"/>
          <a:ext cx="7285714" cy="7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47625</xdr:rowOff>
    </xdr:from>
    <xdr:to>
      <xdr:col>13</xdr:col>
      <xdr:colOff>542925</xdr:colOff>
      <xdr:row>11</xdr:row>
      <xdr:rowOff>28487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" r="894"/>
        <a:stretch/>
      </xdr:blipFill>
      <xdr:spPr>
        <a:xfrm>
          <a:off x="2657475" y="8401050"/>
          <a:ext cx="7191375" cy="7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48032</xdr:rowOff>
    </xdr:from>
    <xdr:to>
      <xdr:col>13</xdr:col>
      <xdr:colOff>170614</xdr:colOff>
      <xdr:row>11</xdr:row>
      <xdr:rowOff>2190464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9925" y="9125357"/>
          <a:ext cx="6266614" cy="2142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12</xdr:row>
      <xdr:rowOff>10717</xdr:rowOff>
    </xdr:from>
    <xdr:to>
      <xdr:col>13</xdr:col>
      <xdr:colOff>361038</xdr:colOff>
      <xdr:row>13</xdr:row>
      <xdr:rowOff>28455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784"/>
        <a:stretch/>
      </xdr:blipFill>
      <xdr:spPr>
        <a:xfrm>
          <a:off x="2733674" y="11297842"/>
          <a:ext cx="6933289" cy="92261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295274</xdr:colOff>
      <xdr:row>13</xdr:row>
      <xdr:rowOff>21511</xdr:rowOff>
    </xdr:from>
    <xdr:to>
      <xdr:col>13</xdr:col>
      <xdr:colOff>408677</xdr:colOff>
      <xdr:row>14</xdr:row>
      <xdr:rowOff>9355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95599" y="12213511"/>
          <a:ext cx="6819003" cy="1292769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14</xdr:row>
      <xdr:rowOff>77561</xdr:rowOff>
    </xdr:from>
    <xdr:to>
      <xdr:col>13</xdr:col>
      <xdr:colOff>464491</xdr:colOff>
      <xdr:row>15</xdr:row>
      <xdr:rowOff>1154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464" y="13574486"/>
          <a:ext cx="6980952" cy="16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133350</xdr:rowOff>
    </xdr:from>
    <xdr:to>
      <xdr:col>13</xdr:col>
      <xdr:colOff>532505</xdr:colOff>
      <xdr:row>16</xdr:row>
      <xdr:rowOff>96208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76525" y="15363825"/>
          <a:ext cx="7161905" cy="810583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160565</xdr:colOff>
      <xdr:row>15</xdr:row>
      <xdr:rowOff>872217</xdr:rowOff>
    </xdr:from>
    <xdr:to>
      <xdr:col>13</xdr:col>
      <xdr:colOff>429987</xdr:colOff>
      <xdr:row>17</xdr:row>
      <xdr:rowOff>117795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60890" y="16074117"/>
          <a:ext cx="6975022" cy="1064853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16</xdr:row>
      <xdr:rowOff>994682</xdr:rowOff>
    </xdr:from>
    <xdr:to>
      <xdr:col>13</xdr:col>
      <xdr:colOff>468583</xdr:colOff>
      <xdr:row>18</xdr:row>
      <xdr:rowOff>3892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0" y="17025257"/>
          <a:ext cx="6917008" cy="1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208189</xdr:colOff>
      <xdr:row>18</xdr:row>
      <xdr:rowOff>36740</xdr:rowOff>
    </xdr:from>
    <xdr:to>
      <xdr:col>13</xdr:col>
      <xdr:colOff>591025</xdr:colOff>
      <xdr:row>18</xdr:row>
      <xdr:rowOff>770073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08514" y="18581915"/>
          <a:ext cx="7088436" cy="733333"/>
        </a:xfrm>
        <a:prstGeom prst="rect">
          <a:avLst/>
        </a:prstGeom>
      </xdr:spPr>
    </xdr:pic>
    <xdr:clientData/>
  </xdr:twoCellAnchor>
  <xdr:twoCellAnchor editAs="oneCell">
    <xdr:from>
      <xdr:col>2</xdr:col>
      <xdr:colOff>457199</xdr:colOff>
      <xdr:row>19</xdr:row>
      <xdr:rowOff>24490</xdr:rowOff>
    </xdr:from>
    <xdr:to>
      <xdr:col>13</xdr:col>
      <xdr:colOff>38610</xdr:colOff>
      <xdr:row>19</xdr:row>
      <xdr:rowOff>1749646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57524" y="19350715"/>
          <a:ext cx="6287011" cy="172515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219074</xdr:colOff>
      <xdr:row>20</xdr:row>
      <xdr:rowOff>49222</xdr:rowOff>
    </xdr:from>
    <xdr:to>
      <xdr:col>13</xdr:col>
      <xdr:colOff>284873</xdr:colOff>
      <xdr:row>21</xdr:row>
      <xdr:rowOff>107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399" y="21280447"/>
          <a:ext cx="6771399" cy="126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</xdr:colOff>
      <xdr:row>21</xdr:row>
      <xdr:rowOff>54429</xdr:rowOff>
    </xdr:from>
    <xdr:to>
      <xdr:col>13</xdr:col>
      <xdr:colOff>591011</xdr:colOff>
      <xdr:row>21</xdr:row>
      <xdr:rowOff>1050348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06460" y="22609629"/>
          <a:ext cx="7190476" cy="995919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22</xdr:row>
      <xdr:rowOff>198664</xdr:rowOff>
    </xdr:from>
    <xdr:to>
      <xdr:col>13</xdr:col>
      <xdr:colOff>626373</xdr:colOff>
      <xdr:row>23</xdr:row>
      <xdr:rowOff>27145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08489" y="23877814"/>
          <a:ext cx="7323809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23</xdr:row>
      <xdr:rowOff>65314</xdr:rowOff>
    </xdr:from>
    <xdr:to>
      <xdr:col>13</xdr:col>
      <xdr:colOff>656306</xdr:colOff>
      <xdr:row>23</xdr:row>
      <xdr:rowOff>646266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09850" y="24468364"/>
          <a:ext cx="7352381" cy="580952"/>
        </a:xfrm>
        <a:prstGeom prst="rect">
          <a:avLst/>
        </a:prstGeom>
      </xdr:spPr>
    </xdr:pic>
    <xdr:clientData/>
  </xdr:twoCellAnchor>
  <xdr:twoCellAnchor>
    <xdr:from>
      <xdr:col>11</xdr:col>
      <xdr:colOff>9066</xdr:colOff>
      <xdr:row>4</xdr:row>
      <xdr:rowOff>9525</xdr:rowOff>
    </xdr:from>
    <xdr:to>
      <xdr:col>11</xdr:col>
      <xdr:colOff>9525</xdr:colOff>
      <xdr:row>23</xdr:row>
      <xdr:rowOff>665316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flipH="1">
          <a:off x="8095791" y="1476375"/>
          <a:ext cx="459" cy="23591991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704850</xdr:rowOff>
    </xdr:from>
    <xdr:to>
      <xdr:col>8</xdr:col>
      <xdr:colOff>9066</xdr:colOff>
      <xdr:row>23</xdr:row>
      <xdr:rowOff>684366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>
          <a:off x="62484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4</xdr:row>
      <xdr:rowOff>0</xdr:rowOff>
    </xdr:from>
    <xdr:to>
      <xdr:col>5</xdr:col>
      <xdr:colOff>9066</xdr:colOff>
      <xdr:row>23</xdr:row>
      <xdr:rowOff>684366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>
          <a:off x="44196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904875</xdr:rowOff>
    </xdr:from>
    <xdr:to>
      <xdr:col>14</xdr:col>
      <xdr:colOff>9525</xdr:colOff>
      <xdr:row>5</xdr:row>
      <xdr:rowOff>0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>
          <a:off x="2609850" y="21907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771525</xdr:rowOff>
    </xdr:from>
    <xdr:to>
      <xdr:col>14</xdr:col>
      <xdr:colOff>0</xdr:colOff>
      <xdr:row>6</xdr:row>
      <xdr:rowOff>0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>
          <a:off x="2600325" y="29146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1638300</xdr:rowOff>
    </xdr:from>
    <xdr:to>
      <xdr:col>14</xdr:col>
      <xdr:colOff>0</xdr:colOff>
      <xdr:row>7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>
          <a:off x="2600325" y="44862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14</xdr:col>
      <xdr:colOff>9525</xdr:colOff>
      <xdr:row>8</xdr:row>
      <xdr:rowOff>0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>
          <a:off x="2609850" y="69056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962025</xdr:rowOff>
    </xdr:from>
    <xdr:to>
      <xdr:col>14</xdr:col>
      <xdr:colOff>0</xdr:colOff>
      <xdr:row>11</xdr:row>
      <xdr:rowOff>0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>
          <a:off x="2600325" y="90773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1009650</xdr:rowOff>
    </xdr:from>
    <xdr:to>
      <xdr:col>14</xdr:col>
      <xdr:colOff>9525</xdr:colOff>
      <xdr:row>10</xdr:row>
      <xdr:rowOff>0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>
          <a:off x="2609850" y="83534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2343150</xdr:colOff>
      <xdr:row>11</xdr:row>
      <xdr:rowOff>2200275</xdr:rowOff>
    </xdr:from>
    <xdr:to>
      <xdr:col>13</xdr:col>
      <xdr:colOff>676274</xdr:colOff>
      <xdr:row>12</xdr:row>
      <xdr:rowOff>1192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>
          <a:off x="2562225" y="11277600"/>
          <a:ext cx="7419974" cy="1071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12</xdr:row>
      <xdr:rowOff>1029892</xdr:rowOff>
    </xdr:from>
    <xdr:to>
      <xdr:col>13</xdr:col>
      <xdr:colOff>676274</xdr:colOff>
      <xdr:row>13</xdr:row>
      <xdr:rowOff>1192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>
          <a:off x="2600324" y="12193192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0</xdr:rowOff>
    </xdr:from>
    <xdr:to>
      <xdr:col>13</xdr:col>
      <xdr:colOff>666750</xdr:colOff>
      <xdr:row>14</xdr:row>
      <xdr:rowOff>0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>
          <a:off x="2581275" y="13496925"/>
          <a:ext cx="7391400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1752600</xdr:rowOff>
    </xdr:from>
    <xdr:to>
      <xdr:col>13</xdr:col>
      <xdr:colOff>657225</xdr:colOff>
      <xdr:row>15</xdr:row>
      <xdr:rowOff>0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>
          <a:off x="2581275" y="152304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2379889</xdr:colOff>
      <xdr:row>15</xdr:row>
      <xdr:rowOff>934811</xdr:rowOff>
    </xdr:from>
    <xdr:to>
      <xdr:col>13</xdr:col>
      <xdr:colOff>674914</xdr:colOff>
      <xdr:row>16</xdr:row>
      <xdr:rowOff>1361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>
          <a:off x="2598964" y="16079561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14</xdr:col>
      <xdr:colOff>109904</xdr:colOff>
      <xdr:row>17</xdr:row>
      <xdr:rowOff>0</xdr:rowOff>
    </xdr:to>
    <xdr:cxnSp macro="">
      <xdr:nvCxnSpPr>
        <xdr:cNvPr id="35" name="Conector reto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>
          <a:off x="2600325" y="17021175"/>
          <a:ext cx="7491779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17</xdr:row>
      <xdr:rowOff>1581150</xdr:rowOff>
    </xdr:from>
    <xdr:to>
      <xdr:col>13</xdr:col>
      <xdr:colOff>666750</xdr:colOff>
      <xdr:row>18</xdr:row>
      <xdr:rowOff>0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>
          <a:off x="2590800" y="185451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18</xdr:row>
      <xdr:rowOff>809625</xdr:rowOff>
    </xdr:from>
    <xdr:to>
      <xdr:col>13</xdr:col>
      <xdr:colOff>666750</xdr:colOff>
      <xdr:row>19</xdr:row>
      <xdr:rowOff>0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>
          <a:off x="2590800" y="193262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19</xdr:row>
      <xdr:rowOff>1895475</xdr:rowOff>
    </xdr:from>
    <xdr:to>
      <xdr:col>14</xdr:col>
      <xdr:colOff>47625</xdr:colOff>
      <xdr:row>20</xdr:row>
      <xdr:rowOff>0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>
          <a:off x="2581275" y="21221700"/>
          <a:ext cx="7448550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1314450</xdr:rowOff>
    </xdr:from>
    <xdr:to>
      <xdr:col>14</xdr:col>
      <xdr:colOff>76200</xdr:colOff>
      <xdr:row>21</xdr:row>
      <xdr:rowOff>0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>
          <a:off x="2600325" y="22545675"/>
          <a:ext cx="74580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2295525</xdr:colOff>
      <xdr:row>22</xdr:row>
      <xdr:rowOff>0</xdr:rowOff>
    </xdr:from>
    <xdr:to>
      <xdr:col>13</xdr:col>
      <xdr:colOff>676274</xdr:colOff>
      <xdr:row>22</xdr:row>
      <xdr:rowOff>1597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>
          <a:off x="2514600" y="23679150"/>
          <a:ext cx="7467599" cy="159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22</xdr:row>
      <xdr:rowOff>877897</xdr:rowOff>
    </xdr:from>
    <xdr:to>
      <xdr:col>13</xdr:col>
      <xdr:colOff>676274</xdr:colOff>
      <xdr:row>23</xdr:row>
      <xdr:rowOff>1597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>
          <a:off x="2600324" y="24404647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43" name="Retângulo 4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2</xdr:col>
      <xdr:colOff>514351</xdr:colOff>
      <xdr:row>0</xdr:row>
      <xdr:rowOff>390525</xdr:rowOff>
    </xdr:to>
    <xdr:sp macro="" textlink="">
      <xdr:nvSpPr>
        <xdr:cNvPr id="44" name="Retângulo 4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2</xdr:col>
      <xdr:colOff>542925</xdr:colOff>
      <xdr:row>0</xdr:row>
      <xdr:rowOff>142875</xdr:rowOff>
    </xdr:from>
    <xdr:to>
      <xdr:col>7</xdr:col>
      <xdr:colOff>0</xdr:colOff>
      <xdr:row>0</xdr:row>
      <xdr:rowOff>390525</xdr:rowOff>
    </xdr:to>
    <xdr:sp macro="" textlink="">
      <xdr:nvSpPr>
        <xdr:cNvPr id="45" name="Retângulo 4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7</xdr:col>
      <xdr:colOff>28576</xdr:colOff>
      <xdr:row>0</xdr:row>
      <xdr:rowOff>142875</xdr:rowOff>
    </xdr:from>
    <xdr:to>
      <xdr:col>9</xdr:col>
      <xdr:colOff>161926</xdr:colOff>
      <xdr:row>0</xdr:row>
      <xdr:rowOff>390525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SpPr/>
      </xdr:nvSpPr>
      <xdr:spPr>
        <a:xfrm>
          <a:off x="5676901" y="142875"/>
          <a:ext cx="135255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9</xdr:col>
      <xdr:colOff>190501</xdr:colOff>
      <xdr:row>0</xdr:row>
      <xdr:rowOff>142875</xdr:rowOff>
    </xdr:from>
    <xdr:to>
      <xdr:col>11</xdr:col>
      <xdr:colOff>323851</xdr:colOff>
      <xdr:row>0</xdr:row>
      <xdr:rowOff>390525</xdr:rowOff>
    </xdr:to>
    <xdr:sp macro="" textlink="">
      <xdr:nvSpPr>
        <xdr:cNvPr id="47" name="Retângulo 46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/>
      </xdr:nvSpPr>
      <xdr:spPr>
        <a:xfrm>
          <a:off x="7058026" y="142875"/>
          <a:ext cx="13525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11</xdr:col>
      <xdr:colOff>365760</xdr:colOff>
      <xdr:row>0</xdr:row>
      <xdr:rowOff>144780</xdr:rowOff>
    </xdr:from>
    <xdr:to>
      <xdr:col>13</xdr:col>
      <xdr:colOff>692151</xdr:colOff>
      <xdr:row>0</xdr:row>
      <xdr:rowOff>391372</xdr:rowOff>
    </xdr:to>
    <xdr:sp macro="" textlink="">
      <xdr:nvSpPr>
        <xdr:cNvPr id="48" name="Retângulo 4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D17FF8C-8173-4C2F-8419-66052189D05A}"/>
            </a:ext>
          </a:extLst>
        </xdr:cNvPr>
        <xdr:cNvSpPr/>
      </xdr:nvSpPr>
      <xdr:spPr>
        <a:xfrm>
          <a:off x="8526780" y="144780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76200</xdr:rowOff>
    </xdr:from>
    <xdr:to>
      <xdr:col>2</xdr:col>
      <xdr:colOff>297383</xdr:colOff>
      <xdr:row>0</xdr:row>
      <xdr:rowOff>323850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64382-B021-4729-BDF7-F6D239BEA6B9}"/>
            </a:ext>
          </a:extLst>
        </xdr:cNvPr>
        <xdr:cNvSpPr/>
      </xdr:nvSpPr>
      <xdr:spPr>
        <a:xfrm>
          <a:off x="91440" y="76200"/>
          <a:ext cx="1036523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9525</xdr:rowOff>
    </xdr:from>
    <xdr:to>
      <xdr:col>13</xdr:col>
      <xdr:colOff>589642</xdr:colOff>
      <xdr:row>5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476375"/>
          <a:ext cx="7266667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</xdr:row>
      <xdr:rowOff>0</xdr:rowOff>
    </xdr:from>
    <xdr:to>
      <xdr:col>13</xdr:col>
      <xdr:colOff>619126</xdr:colOff>
      <xdr:row>6</xdr:row>
      <xdr:rowOff>76100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" r="1276"/>
        <a:stretch/>
      </xdr:blipFill>
      <xdr:spPr>
        <a:xfrm>
          <a:off x="2695575" y="2190750"/>
          <a:ext cx="7229476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47625</xdr:rowOff>
    </xdr:from>
    <xdr:to>
      <xdr:col>13</xdr:col>
      <xdr:colOff>618227</xdr:colOff>
      <xdr:row>6</xdr:row>
      <xdr:rowOff>1476196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2962275"/>
          <a:ext cx="7180952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38100</xdr:rowOff>
    </xdr:from>
    <xdr:to>
      <xdr:col>13</xdr:col>
      <xdr:colOff>275396</xdr:colOff>
      <xdr:row>7</xdr:row>
      <xdr:rowOff>2400005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0" y="4524375"/>
          <a:ext cx="6628571" cy="23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8</xdr:row>
      <xdr:rowOff>323850</xdr:rowOff>
    </xdr:from>
    <xdr:to>
      <xdr:col>13</xdr:col>
      <xdr:colOff>608689</xdr:colOff>
      <xdr:row>9</xdr:row>
      <xdr:rowOff>342807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8900" y="7229475"/>
          <a:ext cx="7285714" cy="7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47625</xdr:rowOff>
    </xdr:from>
    <xdr:to>
      <xdr:col>13</xdr:col>
      <xdr:colOff>542925</xdr:colOff>
      <xdr:row>11</xdr:row>
      <xdr:rowOff>28487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" r="894"/>
        <a:stretch/>
      </xdr:blipFill>
      <xdr:spPr>
        <a:xfrm>
          <a:off x="2657475" y="8401050"/>
          <a:ext cx="7191375" cy="7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48032</xdr:rowOff>
    </xdr:from>
    <xdr:to>
      <xdr:col>13</xdr:col>
      <xdr:colOff>170614</xdr:colOff>
      <xdr:row>11</xdr:row>
      <xdr:rowOff>2190464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9925" y="9125357"/>
          <a:ext cx="6266614" cy="2142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12</xdr:row>
      <xdr:rowOff>10717</xdr:rowOff>
    </xdr:from>
    <xdr:to>
      <xdr:col>13</xdr:col>
      <xdr:colOff>361038</xdr:colOff>
      <xdr:row>13</xdr:row>
      <xdr:rowOff>28455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784"/>
        <a:stretch/>
      </xdr:blipFill>
      <xdr:spPr>
        <a:xfrm>
          <a:off x="2733674" y="11297842"/>
          <a:ext cx="6933289" cy="92261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295274</xdr:colOff>
      <xdr:row>13</xdr:row>
      <xdr:rowOff>21511</xdr:rowOff>
    </xdr:from>
    <xdr:to>
      <xdr:col>13</xdr:col>
      <xdr:colOff>408677</xdr:colOff>
      <xdr:row>14</xdr:row>
      <xdr:rowOff>9355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95599" y="12213511"/>
          <a:ext cx="6819003" cy="1292769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14</xdr:row>
      <xdr:rowOff>77561</xdr:rowOff>
    </xdr:from>
    <xdr:to>
      <xdr:col>13</xdr:col>
      <xdr:colOff>464491</xdr:colOff>
      <xdr:row>15</xdr:row>
      <xdr:rowOff>1154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464" y="13574486"/>
          <a:ext cx="6980952" cy="16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133350</xdr:rowOff>
    </xdr:from>
    <xdr:to>
      <xdr:col>13</xdr:col>
      <xdr:colOff>532505</xdr:colOff>
      <xdr:row>16</xdr:row>
      <xdr:rowOff>96208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76525" y="15363825"/>
          <a:ext cx="7161905" cy="810583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160565</xdr:colOff>
      <xdr:row>15</xdr:row>
      <xdr:rowOff>872217</xdr:rowOff>
    </xdr:from>
    <xdr:to>
      <xdr:col>13</xdr:col>
      <xdr:colOff>429987</xdr:colOff>
      <xdr:row>17</xdr:row>
      <xdr:rowOff>117795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60890" y="16074117"/>
          <a:ext cx="6975022" cy="1064853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16</xdr:row>
      <xdr:rowOff>994682</xdr:rowOff>
    </xdr:from>
    <xdr:to>
      <xdr:col>13</xdr:col>
      <xdr:colOff>468583</xdr:colOff>
      <xdr:row>18</xdr:row>
      <xdr:rowOff>3892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0" y="17025257"/>
          <a:ext cx="6917008" cy="1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208189</xdr:colOff>
      <xdr:row>18</xdr:row>
      <xdr:rowOff>36740</xdr:rowOff>
    </xdr:from>
    <xdr:to>
      <xdr:col>13</xdr:col>
      <xdr:colOff>591025</xdr:colOff>
      <xdr:row>18</xdr:row>
      <xdr:rowOff>770073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08514" y="18581915"/>
          <a:ext cx="7088436" cy="733333"/>
        </a:xfrm>
        <a:prstGeom prst="rect">
          <a:avLst/>
        </a:prstGeom>
      </xdr:spPr>
    </xdr:pic>
    <xdr:clientData/>
  </xdr:twoCellAnchor>
  <xdr:twoCellAnchor editAs="oneCell">
    <xdr:from>
      <xdr:col>2</xdr:col>
      <xdr:colOff>457199</xdr:colOff>
      <xdr:row>19</xdr:row>
      <xdr:rowOff>24490</xdr:rowOff>
    </xdr:from>
    <xdr:to>
      <xdr:col>13</xdr:col>
      <xdr:colOff>38610</xdr:colOff>
      <xdr:row>19</xdr:row>
      <xdr:rowOff>1749646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57524" y="19350715"/>
          <a:ext cx="6287011" cy="172515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219074</xdr:colOff>
      <xdr:row>20</xdr:row>
      <xdr:rowOff>49222</xdr:rowOff>
    </xdr:from>
    <xdr:to>
      <xdr:col>13</xdr:col>
      <xdr:colOff>284873</xdr:colOff>
      <xdr:row>21</xdr:row>
      <xdr:rowOff>107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399" y="21280447"/>
          <a:ext cx="6771399" cy="126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</xdr:colOff>
      <xdr:row>21</xdr:row>
      <xdr:rowOff>54429</xdr:rowOff>
    </xdr:from>
    <xdr:to>
      <xdr:col>13</xdr:col>
      <xdr:colOff>591011</xdr:colOff>
      <xdr:row>21</xdr:row>
      <xdr:rowOff>1050348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06460" y="22609629"/>
          <a:ext cx="7190476" cy="995919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22</xdr:row>
      <xdr:rowOff>198664</xdr:rowOff>
    </xdr:from>
    <xdr:to>
      <xdr:col>13</xdr:col>
      <xdr:colOff>626373</xdr:colOff>
      <xdr:row>23</xdr:row>
      <xdr:rowOff>27145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08489" y="23877814"/>
          <a:ext cx="7323809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23</xdr:row>
      <xdr:rowOff>65314</xdr:rowOff>
    </xdr:from>
    <xdr:to>
      <xdr:col>13</xdr:col>
      <xdr:colOff>656306</xdr:colOff>
      <xdr:row>23</xdr:row>
      <xdr:rowOff>646266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09850" y="24468364"/>
          <a:ext cx="7352381" cy="580952"/>
        </a:xfrm>
        <a:prstGeom prst="rect">
          <a:avLst/>
        </a:prstGeom>
      </xdr:spPr>
    </xdr:pic>
    <xdr:clientData/>
  </xdr:twoCellAnchor>
  <xdr:twoCellAnchor>
    <xdr:from>
      <xdr:col>11</xdr:col>
      <xdr:colOff>9066</xdr:colOff>
      <xdr:row>4</xdr:row>
      <xdr:rowOff>9525</xdr:rowOff>
    </xdr:from>
    <xdr:to>
      <xdr:col>11</xdr:col>
      <xdr:colOff>9525</xdr:colOff>
      <xdr:row>23</xdr:row>
      <xdr:rowOff>665316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flipH="1">
          <a:off x="8095791" y="1476375"/>
          <a:ext cx="459" cy="23591991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704850</xdr:rowOff>
    </xdr:from>
    <xdr:to>
      <xdr:col>8</xdr:col>
      <xdr:colOff>9066</xdr:colOff>
      <xdr:row>23</xdr:row>
      <xdr:rowOff>684366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>
          <a:off x="62484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4</xdr:row>
      <xdr:rowOff>0</xdr:rowOff>
    </xdr:from>
    <xdr:to>
      <xdr:col>5</xdr:col>
      <xdr:colOff>9066</xdr:colOff>
      <xdr:row>23</xdr:row>
      <xdr:rowOff>684366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>
          <a:off x="44196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904875</xdr:rowOff>
    </xdr:from>
    <xdr:to>
      <xdr:col>14</xdr:col>
      <xdr:colOff>9525</xdr:colOff>
      <xdr:row>5</xdr:row>
      <xdr:rowOff>0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>
          <a:off x="2609850" y="21907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771525</xdr:rowOff>
    </xdr:from>
    <xdr:to>
      <xdr:col>14</xdr:col>
      <xdr:colOff>0</xdr:colOff>
      <xdr:row>6</xdr:row>
      <xdr:rowOff>0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>
          <a:off x="2600325" y="29146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1638300</xdr:rowOff>
    </xdr:from>
    <xdr:to>
      <xdr:col>14</xdr:col>
      <xdr:colOff>0</xdr:colOff>
      <xdr:row>7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>
          <a:off x="2600325" y="44862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14</xdr:col>
      <xdr:colOff>9525</xdr:colOff>
      <xdr:row>8</xdr:row>
      <xdr:rowOff>0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>
          <a:off x="2609850" y="69056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962025</xdr:rowOff>
    </xdr:from>
    <xdr:to>
      <xdr:col>14</xdr:col>
      <xdr:colOff>0</xdr:colOff>
      <xdr:row>11</xdr:row>
      <xdr:rowOff>0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>
          <a:off x="2600325" y="90773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1009650</xdr:rowOff>
    </xdr:from>
    <xdr:to>
      <xdr:col>14</xdr:col>
      <xdr:colOff>9525</xdr:colOff>
      <xdr:row>10</xdr:row>
      <xdr:rowOff>0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>
          <a:off x="2609850" y="83534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2343150</xdr:colOff>
      <xdr:row>11</xdr:row>
      <xdr:rowOff>2200275</xdr:rowOff>
    </xdr:from>
    <xdr:to>
      <xdr:col>13</xdr:col>
      <xdr:colOff>676274</xdr:colOff>
      <xdr:row>12</xdr:row>
      <xdr:rowOff>1192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>
          <a:off x="2562225" y="11277600"/>
          <a:ext cx="7419974" cy="1071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12</xdr:row>
      <xdr:rowOff>1029892</xdr:rowOff>
    </xdr:from>
    <xdr:to>
      <xdr:col>13</xdr:col>
      <xdr:colOff>676274</xdr:colOff>
      <xdr:row>13</xdr:row>
      <xdr:rowOff>1192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>
          <a:off x="2600324" y="12193192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0</xdr:rowOff>
    </xdr:from>
    <xdr:to>
      <xdr:col>13</xdr:col>
      <xdr:colOff>666750</xdr:colOff>
      <xdr:row>14</xdr:row>
      <xdr:rowOff>0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>
          <a:off x="2581275" y="13496925"/>
          <a:ext cx="7391400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1752600</xdr:rowOff>
    </xdr:from>
    <xdr:to>
      <xdr:col>13</xdr:col>
      <xdr:colOff>657225</xdr:colOff>
      <xdr:row>15</xdr:row>
      <xdr:rowOff>0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>
          <a:off x="2581275" y="152304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2379889</xdr:colOff>
      <xdr:row>15</xdr:row>
      <xdr:rowOff>934811</xdr:rowOff>
    </xdr:from>
    <xdr:to>
      <xdr:col>13</xdr:col>
      <xdr:colOff>674914</xdr:colOff>
      <xdr:row>16</xdr:row>
      <xdr:rowOff>1361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>
          <a:off x="2598964" y="16079561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14</xdr:col>
      <xdr:colOff>109904</xdr:colOff>
      <xdr:row>17</xdr:row>
      <xdr:rowOff>0</xdr:rowOff>
    </xdr:to>
    <xdr:cxnSp macro="">
      <xdr:nvCxnSpPr>
        <xdr:cNvPr id="35" name="Conector reto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>
          <a:off x="2600325" y="17021175"/>
          <a:ext cx="7491779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17</xdr:row>
      <xdr:rowOff>1581150</xdr:rowOff>
    </xdr:from>
    <xdr:to>
      <xdr:col>13</xdr:col>
      <xdr:colOff>666750</xdr:colOff>
      <xdr:row>18</xdr:row>
      <xdr:rowOff>0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>
          <a:off x="2590800" y="185451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18</xdr:row>
      <xdr:rowOff>809625</xdr:rowOff>
    </xdr:from>
    <xdr:to>
      <xdr:col>13</xdr:col>
      <xdr:colOff>666750</xdr:colOff>
      <xdr:row>19</xdr:row>
      <xdr:rowOff>0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2590800" y="193262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19</xdr:row>
      <xdr:rowOff>1895475</xdr:rowOff>
    </xdr:from>
    <xdr:to>
      <xdr:col>14</xdr:col>
      <xdr:colOff>47625</xdr:colOff>
      <xdr:row>20</xdr:row>
      <xdr:rowOff>0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>
          <a:off x="2581275" y="21221700"/>
          <a:ext cx="7448550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1314450</xdr:rowOff>
    </xdr:from>
    <xdr:to>
      <xdr:col>14</xdr:col>
      <xdr:colOff>76200</xdr:colOff>
      <xdr:row>21</xdr:row>
      <xdr:rowOff>0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>
          <a:off x="2600325" y="22545675"/>
          <a:ext cx="74580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2295525</xdr:colOff>
      <xdr:row>22</xdr:row>
      <xdr:rowOff>0</xdr:rowOff>
    </xdr:from>
    <xdr:to>
      <xdr:col>13</xdr:col>
      <xdr:colOff>676274</xdr:colOff>
      <xdr:row>22</xdr:row>
      <xdr:rowOff>1597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>
          <a:off x="2514600" y="23679150"/>
          <a:ext cx="7467599" cy="159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22</xdr:row>
      <xdr:rowOff>877897</xdr:rowOff>
    </xdr:from>
    <xdr:to>
      <xdr:col>13</xdr:col>
      <xdr:colOff>676274</xdr:colOff>
      <xdr:row>23</xdr:row>
      <xdr:rowOff>1597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>
          <a:off x="2600324" y="24404647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43" name="Retângulo 4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2</xdr:col>
      <xdr:colOff>514351</xdr:colOff>
      <xdr:row>0</xdr:row>
      <xdr:rowOff>390525</xdr:rowOff>
    </xdr:to>
    <xdr:sp macro="" textlink="">
      <xdr:nvSpPr>
        <xdr:cNvPr id="44" name="Retângulo 4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2</xdr:col>
      <xdr:colOff>542925</xdr:colOff>
      <xdr:row>0</xdr:row>
      <xdr:rowOff>142875</xdr:rowOff>
    </xdr:from>
    <xdr:to>
      <xdr:col>7</xdr:col>
      <xdr:colOff>0</xdr:colOff>
      <xdr:row>0</xdr:row>
      <xdr:rowOff>390525</xdr:rowOff>
    </xdr:to>
    <xdr:sp macro="" textlink="">
      <xdr:nvSpPr>
        <xdr:cNvPr id="45" name="Retângulo 4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7</xdr:col>
      <xdr:colOff>28576</xdr:colOff>
      <xdr:row>0</xdr:row>
      <xdr:rowOff>142875</xdr:rowOff>
    </xdr:from>
    <xdr:to>
      <xdr:col>9</xdr:col>
      <xdr:colOff>161926</xdr:colOff>
      <xdr:row>0</xdr:row>
      <xdr:rowOff>390525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SpPr/>
      </xdr:nvSpPr>
      <xdr:spPr>
        <a:xfrm>
          <a:off x="5676901" y="142875"/>
          <a:ext cx="135255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9</xdr:col>
      <xdr:colOff>190501</xdr:colOff>
      <xdr:row>0</xdr:row>
      <xdr:rowOff>142875</xdr:rowOff>
    </xdr:from>
    <xdr:to>
      <xdr:col>11</xdr:col>
      <xdr:colOff>323851</xdr:colOff>
      <xdr:row>0</xdr:row>
      <xdr:rowOff>390525</xdr:rowOff>
    </xdr:to>
    <xdr:sp macro="" textlink="">
      <xdr:nvSpPr>
        <xdr:cNvPr id="47" name="Retângulo 46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SpPr/>
      </xdr:nvSpPr>
      <xdr:spPr>
        <a:xfrm>
          <a:off x="7058026" y="142875"/>
          <a:ext cx="13525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11</xdr:col>
      <xdr:colOff>358140</xdr:colOff>
      <xdr:row>0</xdr:row>
      <xdr:rowOff>144780</xdr:rowOff>
    </xdr:from>
    <xdr:to>
      <xdr:col>13</xdr:col>
      <xdr:colOff>684531</xdr:colOff>
      <xdr:row>0</xdr:row>
      <xdr:rowOff>391372</xdr:rowOff>
    </xdr:to>
    <xdr:sp macro="" textlink="">
      <xdr:nvSpPr>
        <xdr:cNvPr id="48" name="Retângulo 4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D7548464-1067-4AA3-9BA4-7A2C2ACC8393}"/>
            </a:ext>
          </a:extLst>
        </xdr:cNvPr>
        <xdr:cNvSpPr/>
      </xdr:nvSpPr>
      <xdr:spPr>
        <a:xfrm>
          <a:off x="8519160" y="144780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9525</xdr:rowOff>
    </xdr:from>
    <xdr:to>
      <xdr:col>13</xdr:col>
      <xdr:colOff>589642</xdr:colOff>
      <xdr:row>5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476375"/>
          <a:ext cx="7266667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</xdr:row>
      <xdr:rowOff>0</xdr:rowOff>
    </xdr:from>
    <xdr:to>
      <xdr:col>13</xdr:col>
      <xdr:colOff>619126</xdr:colOff>
      <xdr:row>6</xdr:row>
      <xdr:rowOff>76100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" r="1276"/>
        <a:stretch/>
      </xdr:blipFill>
      <xdr:spPr>
        <a:xfrm>
          <a:off x="2695575" y="2190750"/>
          <a:ext cx="7229476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47625</xdr:rowOff>
    </xdr:from>
    <xdr:to>
      <xdr:col>13</xdr:col>
      <xdr:colOff>618227</xdr:colOff>
      <xdr:row>6</xdr:row>
      <xdr:rowOff>1476196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2962275"/>
          <a:ext cx="7180952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38100</xdr:rowOff>
    </xdr:from>
    <xdr:to>
      <xdr:col>13</xdr:col>
      <xdr:colOff>275396</xdr:colOff>
      <xdr:row>7</xdr:row>
      <xdr:rowOff>2400005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0" y="4524375"/>
          <a:ext cx="6628571" cy="23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8</xdr:row>
      <xdr:rowOff>323850</xdr:rowOff>
    </xdr:from>
    <xdr:to>
      <xdr:col>13</xdr:col>
      <xdr:colOff>608689</xdr:colOff>
      <xdr:row>9</xdr:row>
      <xdr:rowOff>342807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8900" y="7229475"/>
          <a:ext cx="7285714" cy="7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47625</xdr:rowOff>
    </xdr:from>
    <xdr:to>
      <xdr:col>13</xdr:col>
      <xdr:colOff>542925</xdr:colOff>
      <xdr:row>11</xdr:row>
      <xdr:rowOff>28487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" r="894"/>
        <a:stretch/>
      </xdr:blipFill>
      <xdr:spPr>
        <a:xfrm>
          <a:off x="2657475" y="8401050"/>
          <a:ext cx="7191375" cy="7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48032</xdr:rowOff>
    </xdr:from>
    <xdr:to>
      <xdr:col>13</xdr:col>
      <xdr:colOff>170614</xdr:colOff>
      <xdr:row>11</xdr:row>
      <xdr:rowOff>2190464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9925" y="9125357"/>
          <a:ext cx="6266614" cy="2142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12</xdr:row>
      <xdr:rowOff>10717</xdr:rowOff>
    </xdr:from>
    <xdr:to>
      <xdr:col>13</xdr:col>
      <xdr:colOff>361038</xdr:colOff>
      <xdr:row>13</xdr:row>
      <xdr:rowOff>28455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784"/>
        <a:stretch/>
      </xdr:blipFill>
      <xdr:spPr>
        <a:xfrm>
          <a:off x="2733674" y="11297842"/>
          <a:ext cx="6933289" cy="92261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295274</xdr:colOff>
      <xdr:row>13</xdr:row>
      <xdr:rowOff>21511</xdr:rowOff>
    </xdr:from>
    <xdr:to>
      <xdr:col>13</xdr:col>
      <xdr:colOff>408677</xdr:colOff>
      <xdr:row>14</xdr:row>
      <xdr:rowOff>9355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95599" y="12213511"/>
          <a:ext cx="6819003" cy="1292769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14</xdr:row>
      <xdr:rowOff>77561</xdr:rowOff>
    </xdr:from>
    <xdr:to>
      <xdr:col>13</xdr:col>
      <xdr:colOff>464491</xdr:colOff>
      <xdr:row>15</xdr:row>
      <xdr:rowOff>1154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464" y="13574486"/>
          <a:ext cx="6980952" cy="16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133350</xdr:rowOff>
    </xdr:from>
    <xdr:to>
      <xdr:col>13</xdr:col>
      <xdr:colOff>532505</xdr:colOff>
      <xdr:row>16</xdr:row>
      <xdr:rowOff>96208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76525" y="15363825"/>
          <a:ext cx="7161905" cy="810583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160565</xdr:colOff>
      <xdr:row>15</xdr:row>
      <xdr:rowOff>872217</xdr:rowOff>
    </xdr:from>
    <xdr:to>
      <xdr:col>13</xdr:col>
      <xdr:colOff>429987</xdr:colOff>
      <xdr:row>17</xdr:row>
      <xdr:rowOff>117795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60890" y="16074117"/>
          <a:ext cx="6975022" cy="1064853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16</xdr:row>
      <xdr:rowOff>994682</xdr:rowOff>
    </xdr:from>
    <xdr:to>
      <xdr:col>13</xdr:col>
      <xdr:colOff>468583</xdr:colOff>
      <xdr:row>18</xdr:row>
      <xdr:rowOff>3892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0" y="17025257"/>
          <a:ext cx="6917008" cy="1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208189</xdr:colOff>
      <xdr:row>18</xdr:row>
      <xdr:rowOff>36740</xdr:rowOff>
    </xdr:from>
    <xdr:to>
      <xdr:col>13</xdr:col>
      <xdr:colOff>591025</xdr:colOff>
      <xdr:row>18</xdr:row>
      <xdr:rowOff>770073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08514" y="18581915"/>
          <a:ext cx="7088436" cy="733333"/>
        </a:xfrm>
        <a:prstGeom prst="rect">
          <a:avLst/>
        </a:prstGeom>
      </xdr:spPr>
    </xdr:pic>
    <xdr:clientData/>
  </xdr:twoCellAnchor>
  <xdr:twoCellAnchor editAs="oneCell">
    <xdr:from>
      <xdr:col>2</xdr:col>
      <xdr:colOff>457199</xdr:colOff>
      <xdr:row>19</xdr:row>
      <xdr:rowOff>24490</xdr:rowOff>
    </xdr:from>
    <xdr:to>
      <xdr:col>13</xdr:col>
      <xdr:colOff>38610</xdr:colOff>
      <xdr:row>19</xdr:row>
      <xdr:rowOff>1749646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57524" y="19350715"/>
          <a:ext cx="6287011" cy="172515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219074</xdr:colOff>
      <xdr:row>20</xdr:row>
      <xdr:rowOff>49222</xdr:rowOff>
    </xdr:from>
    <xdr:to>
      <xdr:col>13</xdr:col>
      <xdr:colOff>284873</xdr:colOff>
      <xdr:row>21</xdr:row>
      <xdr:rowOff>107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399" y="21280447"/>
          <a:ext cx="6771399" cy="126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</xdr:colOff>
      <xdr:row>21</xdr:row>
      <xdr:rowOff>54429</xdr:rowOff>
    </xdr:from>
    <xdr:to>
      <xdr:col>13</xdr:col>
      <xdr:colOff>591011</xdr:colOff>
      <xdr:row>21</xdr:row>
      <xdr:rowOff>1050348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06460" y="22609629"/>
          <a:ext cx="7190476" cy="995919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22</xdr:row>
      <xdr:rowOff>198664</xdr:rowOff>
    </xdr:from>
    <xdr:to>
      <xdr:col>13</xdr:col>
      <xdr:colOff>626373</xdr:colOff>
      <xdr:row>23</xdr:row>
      <xdr:rowOff>27145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08489" y="23877814"/>
          <a:ext cx="7323809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23</xdr:row>
      <xdr:rowOff>65314</xdr:rowOff>
    </xdr:from>
    <xdr:to>
      <xdr:col>13</xdr:col>
      <xdr:colOff>656306</xdr:colOff>
      <xdr:row>23</xdr:row>
      <xdr:rowOff>646266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09850" y="24468364"/>
          <a:ext cx="7352381" cy="580952"/>
        </a:xfrm>
        <a:prstGeom prst="rect">
          <a:avLst/>
        </a:prstGeom>
      </xdr:spPr>
    </xdr:pic>
    <xdr:clientData/>
  </xdr:twoCellAnchor>
  <xdr:twoCellAnchor>
    <xdr:from>
      <xdr:col>11</xdr:col>
      <xdr:colOff>9066</xdr:colOff>
      <xdr:row>4</xdr:row>
      <xdr:rowOff>9525</xdr:rowOff>
    </xdr:from>
    <xdr:to>
      <xdr:col>11</xdr:col>
      <xdr:colOff>9525</xdr:colOff>
      <xdr:row>23</xdr:row>
      <xdr:rowOff>665316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flipH="1">
          <a:off x="8095791" y="1476375"/>
          <a:ext cx="459" cy="23591991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704850</xdr:rowOff>
    </xdr:from>
    <xdr:to>
      <xdr:col>8</xdr:col>
      <xdr:colOff>9066</xdr:colOff>
      <xdr:row>23</xdr:row>
      <xdr:rowOff>684366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>
          <a:off x="62484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4</xdr:row>
      <xdr:rowOff>0</xdr:rowOff>
    </xdr:from>
    <xdr:to>
      <xdr:col>5</xdr:col>
      <xdr:colOff>9066</xdr:colOff>
      <xdr:row>23</xdr:row>
      <xdr:rowOff>684366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>
          <a:off x="44196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904875</xdr:rowOff>
    </xdr:from>
    <xdr:to>
      <xdr:col>14</xdr:col>
      <xdr:colOff>9525</xdr:colOff>
      <xdr:row>5</xdr:row>
      <xdr:rowOff>0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>
          <a:off x="2609850" y="21907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771525</xdr:rowOff>
    </xdr:from>
    <xdr:to>
      <xdr:col>14</xdr:col>
      <xdr:colOff>0</xdr:colOff>
      <xdr:row>6</xdr:row>
      <xdr:rowOff>0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>
          <a:off x="2600325" y="29146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1638300</xdr:rowOff>
    </xdr:from>
    <xdr:to>
      <xdr:col>14</xdr:col>
      <xdr:colOff>0</xdr:colOff>
      <xdr:row>7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>
          <a:off x="2600325" y="44862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14</xdr:col>
      <xdr:colOff>9525</xdr:colOff>
      <xdr:row>8</xdr:row>
      <xdr:rowOff>0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>
          <a:off x="2609850" y="69056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962025</xdr:rowOff>
    </xdr:from>
    <xdr:to>
      <xdr:col>14</xdr:col>
      <xdr:colOff>0</xdr:colOff>
      <xdr:row>11</xdr:row>
      <xdr:rowOff>0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>
          <a:off x="2600325" y="90773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1009650</xdr:rowOff>
    </xdr:from>
    <xdr:to>
      <xdr:col>14</xdr:col>
      <xdr:colOff>9525</xdr:colOff>
      <xdr:row>10</xdr:row>
      <xdr:rowOff>0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>
          <a:off x="2609850" y="83534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2343150</xdr:colOff>
      <xdr:row>11</xdr:row>
      <xdr:rowOff>2200275</xdr:rowOff>
    </xdr:from>
    <xdr:to>
      <xdr:col>13</xdr:col>
      <xdr:colOff>676274</xdr:colOff>
      <xdr:row>12</xdr:row>
      <xdr:rowOff>1192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>
          <a:off x="2562225" y="11277600"/>
          <a:ext cx="7419974" cy="1071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12</xdr:row>
      <xdr:rowOff>1029892</xdr:rowOff>
    </xdr:from>
    <xdr:to>
      <xdr:col>13</xdr:col>
      <xdr:colOff>676274</xdr:colOff>
      <xdr:row>13</xdr:row>
      <xdr:rowOff>1192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>
          <a:off x="2600324" y="12193192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0</xdr:rowOff>
    </xdr:from>
    <xdr:to>
      <xdr:col>13</xdr:col>
      <xdr:colOff>666750</xdr:colOff>
      <xdr:row>14</xdr:row>
      <xdr:rowOff>0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>
          <a:off x="2581275" y="13496925"/>
          <a:ext cx="7391400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1752600</xdr:rowOff>
    </xdr:from>
    <xdr:to>
      <xdr:col>13</xdr:col>
      <xdr:colOff>657225</xdr:colOff>
      <xdr:row>15</xdr:row>
      <xdr:rowOff>0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>
          <a:off x="2581275" y="152304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2379889</xdr:colOff>
      <xdr:row>15</xdr:row>
      <xdr:rowOff>934811</xdr:rowOff>
    </xdr:from>
    <xdr:to>
      <xdr:col>13</xdr:col>
      <xdr:colOff>674914</xdr:colOff>
      <xdr:row>16</xdr:row>
      <xdr:rowOff>1361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>
          <a:off x="2598964" y="16079561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14</xdr:col>
      <xdr:colOff>109904</xdr:colOff>
      <xdr:row>17</xdr:row>
      <xdr:rowOff>0</xdr:rowOff>
    </xdr:to>
    <xdr:cxnSp macro="">
      <xdr:nvCxnSpPr>
        <xdr:cNvPr id="35" name="Conector reto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>
          <a:off x="2600325" y="17021175"/>
          <a:ext cx="7491779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17</xdr:row>
      <xdr:rowOff>1581150</xdr:rowOff>
    </xdr:from>
    <xdr:to>
      <xdr:col>13</xdr:col>
      <xdr:colOff>666750</xdr:colOff>
      <xdr:row>18</xdr:row>
      <xdr:rowOff>0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>
          <a:off x="2590800" y="185451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18</xdr:row>
      <xdr:rowOff>809625</xdr:rowOff>
    </xdr:from>
    <xdr:to>
      <xdr:col>13</xdr:col>
      <xdr:colOff>666750</xdr:colOff>
      <xdr:row>19</xdr:row>
      <xdr:rowOff>0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>
          <a:off x="2590800" y="193262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19</xdr:row>
      <xdr:rowOff>1895475</xdr:rowOff>
    </xdr:from>
    <xdr:to>
      <xdr:col>14</xdr:col>
      <xdr:colOff>47625</xdr:colOff>
      <xdr:row>20</xdr:row>
      <xdr:rowOff>0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>
          <a:off x="2581275" y="21221700"/>
          <a:ext cx="7448550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1314450</xdr:rowOff>
    </xdr:from>
    <xdr:to>
      <xdr:col>14</xdr:col>
      <xdr:colOff>76200</xdr:colOff>
      <xdr:row>21</xdr:row>
      <xdr:rowOff>0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>
          <a:off x="2600325" y="22545675"/>
          <a:ext cx="74580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2295525</xdr:colOff>
      <xdr:row>22</xdr:row>
      <xdr:rowOff>0</xdr:rowOff>
    </xdr:from>
    <xdr:to>
      <xdr:col>13</xdr:col>
      <xdr:colOff>676274</xdr:colOff>
      <xdr:row>22</xdr:row>
      <xdr:rowOff>1597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>
          <a:off x="2514600" y="23679150"/>
          <a:ext cx="7467599" cy="159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22</xdr:row>
      <xdr:rowOff>877897</xdr:rowOff>
    </xdr:from>
    <xdr:to>
      <xdr:col>13</xdr:col>
      <xdr:colOff>676274</xdr:colOff>
      <xdr:row>23</xdr:row>
      <xdr:rowOff>1597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>
          <a:off x="2600324" y="24404647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43" name="Retângulo 4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</a:t>
          </a:r>
          <a:r>
            <a:rPr lang="pt-BR" sz="1400" b="1" baseline="0"/>
            <a:t> Menu</a:t>
          </a:r>
          <a:endParaRPr lang="pt-BR" sz="1400" b="1"/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2</xdr:col>
      <xdr:colOff>514351</xdr:colOff>
      <xdr:row>0</xdr:row>
      <xdr:rowOff>390525</xdr:rowOff>
    </xdr:to>
    <xdr:sp macro="" textlink="">
      <xdr:nvSpPr>
        <xdr:cNvPr id="44" name="Retângulo 4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2</xdr:col>
      <xdr:colOff>542925</xdr:colOff>
      <xdr:row>0</xdr:row>
      <xdr:rowOff>142875</xdr:rowOff>
    </xdr:from>
    <xdr:to>
      <xdr:col>7</xdr:col>
      <xdr:colOff>0</xdr:colOff>
      <xdr:row>0</xdr:row>
      <xdr:rowOff>390525</xdr:rowOff>
    </xdr:to>
    <xdr:sp macro="" textlink="">
      <xdr:nvSpPr>
        <xdr:cNvPr id="45" name="Retângulo 4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7</xdr:col>
      <xdr:colOff>28576</xdr:colOff>
      <xdr:row>0</xdr:row>
      <xdr:rowOff>142875</xdr:rowOff>
    </xdr:from>
    <xdr:to>
      <xdr:col>9</xdr:col>
      <xdr:colOff>161926</xdr:colOff>
      <xdr:row>0</xdr:row>
      <xdr:rowOff>390525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SpPr/>
      </xdr:nvSpPr>
      <xdr:spPr>
        <a:xfrm>
          <a:off x="5676901" y="142875"/>
          <a:ext cx="135255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9</xdr:col>
      <xdr:colOff>190501</xdr:colOff>
      <xdr:row>0</xdr:row>
      <xdr:rowOff>142875</xdr:rowOff>
    </xdr:from>
    <xdr:to>
      <xdr:col>11</xdr:col>
      <xdr:colOff>323851</xdr:colOff>
      <xdr:row>0</xdr:row>
      <xdr:rowOff>390525</xdr:rowOff>
    </xdr:to>
    <xdr:sp macro="" textlink="">
      <xdr:nvSpPr>
        <xdr:cNvPr id="47" name="Retângulo 46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/>
      </xdr:nvSpPr>
      <xdr:spPr>
        <a:xfrm>
          <a:off x="7058026" y="142875"/>
          <a:ext cx="13525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11</xdr:col>
      <xdr:colOff>358140</xdr:colOff>
      <xdr:row>0</xdr:row>
      <xdr:rowOff>144780</xdr:rowOff>
    </xdr:from>
    <xdr:to>
      <xdr:col>13</xdr:col>
      <xdr:colOff>684531</xdr:colOff>
      <xdr:row>0</xdr:row>
      <xdr:rowOff>391372</xdr:rowOff>
    </xdr:to>
    <xdr:sp macro="" textlink="">
      <xdr:nvSpPr>
        <xdr:cNvPr id="48" name="Retângulo 4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F13E7E92-D731-4921-BB46-A8CDBD5619C7}"/>
            </a:ext>
          </a:extLst>
        </xdr:cNvPr>
        <xdr:cNvSpPr/>
      </xdr:nvSpPr>
      <xdr:spPr>
        <a:xfrm>
          <a:off x="8519160" y="144780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9525</xdr:rowOff>
    </xdr:from>
    <xdr:to>
      <xdr:col>13</xdr:col>
      <xdr:colOff>589642</xdr:colOff>
      <xdr:row>5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0" y="1476375"/>
          <a:ext cx="7266667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</xdr:row>
      <xdr:rowOff>0</xdr:rowOff>
    </xdr:from>
    <xdr:to>
      <xdr:col>13</xdr:col>
      <xdr:colOff>619126</xdr:colOff>
      <xdr:row>6</xdr:row>
      <xdr:rowOff>76100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" r="1276"/>
        <a:stretch/>
      </xdr:blipFill>
      <xdr:spPr>
        <a:xfrm>
          <a:off x="2695575" y="2190750"/>
          <a:ext cx="7229476" cy="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47625</xdr:rowOff>
    </xdr:from>
    <xdr:to>
      <xdr:col>13</xdr:col>
      <xdr:colOff>618227</xdr:colOff>
      <xdr:row>6</xdr:row>
      <xdr:rowOff>1476196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2962275"/>
          <a:ext cx="7180952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</xdr:row>
      <xdr:rowOff>38100</xdr:rowOff>
    </xdr:from>
    <xdr:to>
      <xdr:col>13</xdr:col>
      <xdr:colOff>275396</xdr:colOff>
      <xdr:row>7</xdr:row>
      <xdr:rowOff>2400005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0" y="4524375"/>
          <a:ext cx="6628571" cy="23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8</xdr:row>
      <xdr:rowOff>323850</xdr:rowOff>
    </xdr:from>
    <xdr:to>
      <xdr:col>13</xdr:col>
      <xdr:colOff>608689</xdr:colOff>
      <xdr:row>9</xdr:row>
      <xdr:rowOff>342807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8900" y="7229475"/>
          <a:ext cx="7285714" cy="742857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47625</xdr:rowOff>
    </xdr:from>
    <xdr:to>
      <xdr:col>13</xdr:col>
      <xdr:colOff>542925</xdr:colOff>
      <xdr:row>11</xdr:row>
      <xdr:rowOff>28487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295" r="894"/>
        <a:stretch/>
      </xdr:blipFill>
      <xdr:spPr>
        <a:xfrm>
          <a:off x="2657475" y="8401050"/>
          <a:ext cx="7191375" cy="7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48032</xdr:rowOff>
    </xdr:from>
    <xdr:to>
      <xdr:col>13</xdr:col>
      <xdr:colOff>170614</xdr:colOff>
      <xdr:row>11</xdr:row>
      <xdr:rowOff>2190464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9925" y="9125357"/>
          <a:ext cx="6266614" cy="214243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12</xdr:row>
      <xdr:rowOff>10717</xdr:rowOff>
    </xdr:from>
    <xdr:to>
      <xdr:col>13</xdr:col>
      <xdr:colOff>361038</xdr:colOff>
      <xdr:row>13</xdr:row>
      <xdr:rowOff>28455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784"/>
        <a:stretch/>
      </xdr:blipFill>
      <xdr:spPr>
        <a:xfrm>
          <a:off x="2733674" y="11297842"/>
          <a:ext cx="6933289" cy="922613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295274</xdr:colOff>
      <xdr:row>13</xdr:row>
      <xdr:rowOff>21511</xdr:rowOff>
    </xdr:from>
    <xdr:to>
      <xdr:col>13</xdr:col>
      <xdr:colOff>408677</xdr:colOff>
      <xdr:row>14</xdr:row>
      <xdr:rowOff>9355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95599" y="12213511"/>
          <a:ext cx="6819003" cy="1292769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14</xdr:row>
      <xdr:rowOff>77561</xdr:rowOff>
    </xdr:from>
    <xdr:to>
      <xdr:col>13</xdr:col>
      <xdr:colOff>464491</xdr:colOff>
      <xdr:row>15</xdr:row>
      <xdr:rowOff>1154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464" y="13574486"/>
          <a:ext cx="6980952" cy="16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133350</xdr:rowOff>
    </xdr:from>
    <xdr:to>
      <xdr:col>13</xdr:col>
      <xdr:colOff>532505</xdr:colOff>
      <xdr:row>16</xdr:row>
      <xdr:rowOff>96208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76525" y="15363825"/>
          <a:ext cx="7161905" cy="810583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160565</xdr:colOff>
      <xdr:row>15</xdr:row>
      <xdr:rowOff>872217</xdr:rowOff>
    </xdr:from>
    <xdr:to>
      <xdr:col>13</xdr:col>
      <xdr:colOff>429987</xdr:colOff>
      <xdr:row>17</xdr:row>
      <xdr:rowOff>117795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60890" y="16074117"/>
          <a:ext cx="6975022" cy="1064853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16</xdr:row>
      <xdr:rowOff>994682</xdr:rowOff>
    </xdr:from>
    <xdr:to>
      <xdr:col>13</xdr:col>
      <xdr:colOff>468583</xdr:colOff>
      <xdr:row>18</xdr:row>
      <xdr:rowOff>3892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0" y="17025257"/>
          <a:ext cx="6917008" cy="15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208189</xdr:colOff>
      <xdr:row>18</xdr:row>
      <xdr:rowOff>36740</xdr:rowOff>
    </xdr:from>
    <xdr:to>
      <xdr:col>13</xdr:col>
      <xdr:colOff>591025</xdr:colOff>
      <xdr:row>18</xdr:row>
      <xdr:rowOff>770073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08514" y="18581915"/>
          <a:ext cx="7088436" cy="733333"/>
        </a:xfrm>
        <a:prstGeom prst="rect">
          <a:avLst/>
        </a:prstGeom>
      </xdr:spPr>
    </xdr:pic>
    <xdr:clientData/>
  </xdr:twoCellAnchor>
  <xdr:twoCellAnchor editAs="oneCell">
    <xdr:from>
      <xdr:col>2</xdr:col>
      <xdr:colOff>457199</xdr:colOff>
      <xdr:row>19</xdr:row>
      <xdr:rowOff>24490</xdr:rowOff>
    </xdr:from>
    <xdr:to>
      <xdr:col>13</xdr:col>
      <xdr:colOff>38610</xdr:colOff>
      <xdr:row>19</xdr:row>
      <xdr:rowOff>1749646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57524" y="19350715"/>
          <a:ext cx="6287011" cy="172515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219074</xdr:colOff>
      <xdr:row>20</xdr:row>
      <xdr:rowOff>49222</xdr:rowOff>
    </xdr:from>
    <xdr:to>
      <xdr:col>13</xdr:col>
      <xdr:colOff>284873</xdr:colOff>
      <xdr:row>21</xdr:row>
      <xdr:rowOff>107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399" y="21280447"/>
          <a:ext cx="6771399" cy="1269145"/>
        </a:xfrm>
        <a:prstGeom prst="rect">
          <a:avLst/>
        </a:prstGeom>
      </xdr:spPr>
    </xdr:pic>
    <xdr:clientData/>
  </xdr:twoCellAnchor>
  <xdr:twoCellAnchor editAs="oneCell">
    <xdr:from>
      <xdr:col>2</xdr:col>
      <xdr:colOff>106135</xdr:colOff>
      <xdr:row>21</xdr:row>
      <xdr:rowOff>54429</xdr:rowOff>
    </xdr:from>
    <xdr:to>
      <xdr:col>13</xdr:col>
      <xdr:colOff>591011</xdr:colOff>
      <xdr:row>21</xdr:row>
      <xdr:rowOff>1050348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06460" y="22609629"/>
          <a:ext cx="7190476" cy="995919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22</xdr:row>
      <xdr:rowOff>198664</xdr:rowOff>
    </xdr:from>
    <xdr:to>
      <xdr:col>13</xdr:col>
      <xdr:colOff>626373</xdr:colOff>
      <xdr:row>23</xdr:row>
      <xdr:rowOff>27145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08489" y="23877814"/>
          <a:ext cx="7323809" cy="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23</xdr:row>
      <xdr:rowOff>65314</xdr:rowOff>
    </xdr:from>
    <xdr:to>
      <xdr:col>13</xdr:col>
      <xdr:colOff>656306</xdr:colOff>
      <xdr:row>23</xdr:row>
      <xdr:rowOff>646266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609850" y="24468364"/>
          <a:ext cx="7352381" cy="580952"/>
        </a:xfrm>
        <a:prstGeom prst="rect">
          <a:avLst/>
        </a:prstGeom>
      </xdr:spPr>
    </xdr:pic>
    <xdr:clientData/>
  </xdr:twoCellAnchor>
  <xdr:twoCellAnchor>
    <xdr:from>
      <xdr:col>11</xdr:col>
      <xdr:colOff>9066</xdr:colOff>
      <xdr:row>4</xdr:row>
      <xdr:rowOff>9525</xdr:rowOff>
    </xdr:from>
    <xdr:to>
      <xdr:col>11</xdr:col>
      <xdr:colOff>9525</xdr:colOff>
      <xdr:row>23</xdr:row>
      <xdr:rowOff>665316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flipH="1">
          <a:off x="8095791" y="1476375"/>
          <a:ext cx="459" cy="23591991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704850</xdr:rowOff>
    </xdr:from>
    <xdr:to>
      <xdr:col>8</xdr:col>
      <xdr:colOff>9066</xdr:colOff>
      <xdr:row>23</xdr:row>
      <xdr:rowOff>684366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>
          <a:off x="62484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4</xdr:row>
      <xdr:rowOff>0</xdr:rowOff>
    </xdr:from>
    <xdr:to>
      <xdr:col>5</xdr:col>
      <xdr:colOff>9066</xdr:colOff>
      <xdr:row>23</xdr:row>
      <xdr:rowOff>684366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>
          <a:off x="4419600" y="1466850"/>
          <a:ext cx="18591" cy="23620566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904875</xdr:rowOff>
    </xdr:from>
    <xdr:to>
      <xdr:col>14</xdr:col>
      <xdr:colOff>9525</xdr:colOff>
      <xdr:row>5</xdr:row>
      <xdr:rowOff>0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>
          <a:off x="2609850" y="21907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771525</xdr:rowOff>
    </xdr:from>
    <xdr:to>
      <xdr:col>14</xdr:col>
      <xdr:colOff>0</xdr:colOff>
      <xdr:row>6</xdr:row>
      <xdr:rowOff>0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>
          <a:off x="2600325" y="2914650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1638300</xdr:rowOff>
    </xdr:from>
    <xdr:to>
      <xdr:col>14</xdr:col>
      <xdr:colOff>0</xdr:colOff>
      <xdr:row>7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>
          <a:off x="2600325" y="44862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14</xdr:col>
      <xdr:colOff>9525</xdr:colOff>
      <xdr:row>8</xdr:row>
      <xdr:rowOff>0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>
          <a:off x="2609850" y="69056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962025</xdr:rowOff>
    </xdr:from>
    <xdr:to>
      <xdr:col>14</xdr:col>
      <xdr:colOff>0</xdr:colOff>
      <xdr:row>11</xdr:row>
      <xdr:rowOff>0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>
          <a:off x="2600325" y="90773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1009650</xdr:rowOff>
    </xdr:from>
    <xdr:to>
      <xdr:col>14</xdr:col>
      <xdr:colOff>9525</xdr:colOff>
      <xdr:row>10</xdr:row>
      <xdr:rowOff>0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>
          <a:off x="2609850" y="83534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2343150</xdr:colOff>
      <xdr:row>11</xdr:row>
      <xdr:rowOff>2200275</xdr:rowOff>
    </xdr:from>
    <xdr:to>
      <xdr:col>13</xdr:col>
      <xdr:colOff>676274</xdr:colOff>
      <xdr:row>12</xdr:row>
      <xdr:rowOff>1192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>
          <a:off x="2562225" y="11277600"/>
          <a:ext cx="7419974" cy="1071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12</xdr:row>
      <xdr:rowOff>1029892</xdr:rowOff>
    </xdr:from>
    <xdr:to>
      <xdr:col>13</xdr:col>
      <xdr:colOff>676274</xdr:colOff>
      <xdr:row>13</xdr:row>
      <xdr:rowOff>1192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>
          <a:off x="2600324" y="12193192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0</xdr:rowOff>
    </xdr:from>
    <xdr:to>
      <xdr:col>13</xdr:col>
      <xdr:colOff>666750</xdr:colOff>
      <xdr:row>14</xdr:row>
      <xdr:rowOff>0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>
          <a:off x="2581275" y="13496925"/>
          <a:ext cx="7391400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14</xdr:row>
      <xdr:rowOff>1752600</xdr:rowOff>
    </xdr:from>
    <xdr:to>
      <xdr:col>13</xdr:col>
      <xdr:colOff>657225</xdr:colOff>
      <xdr:row>15</xdr:row>
      <xdr:rowOff>0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>
          <a:off x="2581275" y="152304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2379889</xdr:colOff>
      <xdr:row>15</xdr:row>
      <xdr:rowOff>934811</xdr:rowOff>
    </xdr:from>
    <xdr:to>
      <xdr:col>13</xdr:col>
      <xdr:colOff>674914</xdr:colOff>
      <xdr:row>16</xdr:row>
      <xdr:rowOff>1361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>
          <a:off x="2598964" y="16079561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14</xdr:col>
      <xdr:colOff>109904</xdr:colOff>
      <xdr:row>17</xdr:row>
      <xdr:rowOff>0</xdr:rowOff>
    </xdr:to>
    <xdr:cxnSp macro="">
      <xdr:nvCxnSpPr>
        <xdr:cNvPr id="35" name="Conector reto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>
          <a:off x="2600325" y="17021175"/>
          <a:ext cx="7491779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17</xdr:row>
      <xdr:rowOff>1581150</xdr:rowOff>
    </xdr:from>
    <xdr:to>
      <xdr:col>13</xdr:col>
      <xdr:colOff>666750</xdr:colOff>
      <xdr:row>18</xdr:row>
      <xdr:rowOff>0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>
          <a:off x="2590800" y="1854517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2371725</xdr:colOff>
      <xdr:row>18</xdr:row>
      <xdr:rowOff>809625</xdr:rowOff>
    </xdr:from>
    <xdr:to>
      <xdr:col>13</xdr:col>
      <xdr:colOff>666750</xdr:colOff>
      <xdr:row>19</xdr:row>
      <xdr:rowOff>0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>
          <a:off x="2590800" y="19326225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2362200</xdr:colOff>
      <xdr:row>19</xdr:row>
      <xdr:rowOff>1895475</xdr:rowOff>
    </xdr:from>
    <xdr:to>
      <xdr:col>14</xdr:col>
      <xdr:colOff>47625</xdr:colOff>
      <xdr:row>20</xdr:row>
      <xdr:rowOff>0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>
          <a:off x="2581275" y="21221700"/>
          <a:ext cx="7448550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1314450</xdr:rowOff>
    </xdr:from>
    <xdr:to>
      <xdr:col>14</xdr:col>
      <xdr:colOff>76200</xdr:colOff>
      <xdr:row>21</xdr:row>
      <xdr:rowOff>0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>
          <a:off x="2600325" y="22545675"/>
          <a:ext cx="7458075" cy="9525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2295525</xdr:colOff>
      <xdr:row>22</xdr:row>
      <xdr:rowOff>0</xdr:rowOff>
    </xdr:from>
    <xdr:to>
      <xdr:col>13</xdr:col>
      <xdr:colOff>676274</xdr:colOff>
      <xdr:row>22</xdr:row>
      <xdr:rowOff>1597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>
          <a:off x="2514600" y="23679150"/>
          <a:ext cx="7467599" cy="1597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2381249</xdr:colOff>
      <xdr:row>22</xdr:row>
      <xdr:rowOff>877897</xdr:rowOff>
    </xdr:from>
    <xdr:to>
      <xdr:col>13</xdr:col>
      <xdr:colOff>676274</xdr:colOff>
      <xdr:row>23</xdr:row>
      <xdr:rowOff>1597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>
          <a:off x="2600324" y="24404647"/>
          <a:ext cx="7381875" cy="0"/>
        </a:xfrm>
        <a:prstGeom prst="line">
          <a:avLst/>
        </a:prstGeom>
        <a:ln>
          <a:solidFill>
            <a:srgbClr val="DEE2E7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43" name="Retângulo 4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2</xdr:col>
      <xdr:colOff>514351</xdr:colOff>
      <xdr:row>0</xdr:row>
      <xdr:rowOff>390525</xdr:rowOff>
    </xdr:to>
    <xdr:sp macro="" textlink="">
      <xdr:nvSpPr>
        <xdr:cNvPr id="44" name="Retângulo 4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2</xdr:col>
      <xdr:colOff>542925</xdr:colOff>
      <xdr:row>0</xdr:row>
      <xdr:rowOff>142875</xdr:rowOff>
    </xdr:from>
    <xdr:to>
      <xdr:col>7</xdr:col>
      <xdr:colOff>0</xdr:colOff>
      <xdr:row>0</xdr:row>
      <xdr:rowOff>390525</xdr:rowOff>
    </xdr:to>
    <xdr:sp macro="" textlink="">
      <xdr:nvSpPr>
        <xdr:cNvPr id="45" name="Retângulo 4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7</xdr:col>
      <xdr:colOff>28576</xdr:colOff>
      <xdr:row>0</xdr:row>
      <xdr:rowOff>142875</xdr:rowOff>
    </xdr:from>
    <xdr:to>
      <xdr:col>9</xdr:col>
      <xdr:colOff>161926</xdr:colOff>
      <xdr:row>0</xdr:row>
      <xdr:rowOff>390525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SpPr/>
      </xdr:nvSpPr>
      <xdr:spPr>
        <a:xfrm>
          <a:off x="5676901" y="142875"/>
          <a:ext cx="135255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9</xdr:col>
      <xdr:colOff>190501</xdr:colOff>
      <xdr:row>0</xdr:row>
      <xdr:rowOff>142875</xdr:rowOff>
    </xdr:from>
    <xdr:to>
      <xdr:col>11</xdr:col>
      <xdr:colOff>323851</xdr:colOff>
      <xdr:row>0</xdr:row>
      <xdr:rowOff>390525</xdr:rowOff>
    </xdr:to>
    <xdr:sp macro="" textlink="">
      <xdr:nvSpPr>
        <xdr:cNvPr id="47" name="Retângulo 46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SpPr/>
      </xdr:nvSpPr>
      <xdr:spPr>
        <a:xfrm>
          <a:off x="7058026" y="142875"/>
          <a:ext cx="13525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11</xdr:col>
      <xdr:colOff>358140</xdr:colOff>
      <xdr:row>0</xdr:row>
      <xdr:rowOff>144780</xdr:rowOff>
    </xdr:from>
    <xdr:to>
      <xdr:col>13</xdr:col>
      <xdr:colOff>684531</xdr:colOff>
      <xdr:row>0</xdr:row>
      <xdr:rowOff>391372</xdr:rowOff>
    </xdr:to>
    <xdr:sp macro="" textlink="">
      <xdr:nvSpPr>
        <xdr:cNvPr id="48" name="Retângulo 4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17696A30-D280-4061-AF08-E704A2757D5A}"/>
            </a:ext>
          </a:extLst>
        </xdr:cNvPr>
        <xdr:cNvSpPr/>
      </xdr:nvSpPr>
      <xdr:spPr>
        <a:xfrm>
          <a:off x="8519160" y="144780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0</xdr:row>
      <xdr:rowOff>123825</xdr:rowOff>
    </xdr:from>
    <xdr:to>
      <xdr:col>1</xdr:col>
      <xdr:colOff>1765935</xdr:colOff>
      <xdr:row>0</xdr:row>
      <xdr:rowOff>371475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52500" y="123825"/>
          <a:ext cx="104203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723900</xdr:colOff>
      <xdr:row>0</xdr:row>
      <xdr:rowOff>409575</xdr:rowOff>
    </xdr:from>
    <xdr:to>
      <xdr:col>1</xdr:col>
      <xdr:colOff>1765935</xdr:colOff>
      <xdr:row>0</xdr:row>
      <xdr:rowOff>657225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52500" y="409575"/>
          <a:ext cx="104203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3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Anamnese</a:t>
          </a:r>
          <a:endParaRPr lang="pt-BR" sz="1300" b="1">
            <a:effectLst/>
          </a:endParaRPr>
        </a:p>
      </xdr:txBody>
    </xdr:sp>
    <xdr:clientData/>
  </xdr:twoCellAnchor>
  <xdr:twoCellAnchor>
    <xdr:from>
      <xdr:col>1</xdr:col>
      <xdr:colOff>1813560</xdr:colOff>
      <xdr:row>0</xdr:row>
      <xdr:rowOff>123825</xdr:rowOff>
    </xdr:from>
    <xdr:to>
      <xdr:col>2</xdr:col>
      <xdr:colOff>1163955</xdr:colOff>
      <xdr:row>0</xdr:row>
      <xdr:rowOff>371475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042160" y="123825"/>
          <a:ext cx="146875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1</a:t>
          </a:r>
          <a:endParaRPr lang="pt-BR" sz="1300" b="1"/>
        </a:p>
      </xdr:txBody>
    </xdr:sp>
    <xdr:clientData/>
  </xdr:twoCellAnchor>
  <xdr:twoCellAnchor>
    <xdr:from>
      <xdr:col>1</xdr:col>
      <xdr:colOff>1813560</xdr:colOff>
      <xdr:row>0</xdr:row>
      <xdr:rowOff>409575</xdr:rowOff>
    </xdr:from>
    <xdr:to>
      <xdr:col>2</xdr:col>
      <xdr:colOff>1163955</xdr:colOff>
      <xdr:row>0</xdr:row>
      <xdr:rowOff>657225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042160" y="409575"/>
          <a:ext cx="146875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4</a:t>
          </a:r>
          <a:endParaRPr lang="pt-BR" sz="1300" b="1"/>
        </a:p>
      </xdr:txBody>
    </xdr:sp>
    <xdr:clientData/>
  </xdr:twoCellAnchor>
  <xdr:twoCellAnchor>
    <xdr:from>
      <xdr:col>3</xdr:col>
      <xdr:colOff>0</xdr:colOff>
      <xdr:row>0</xdr:row>
      <xdr:rowOff>123825</xdr:rowOff>
    </xdr:from>
    <xdr:to>
      <xdr:col>4</xdr:col>
      <xdr:colOff>706755</xdr:colOff>
      <xdr:row>0</xdr:row>
      <xdr:rowOff>371475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558540" y="123825"/>
          <a:ext cx="187261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2</a:t>
          </a:r>
          <a:endParaRPr lang="pt-BR" sz="1300" b="1"/>
        </a:p>
      </xdr:txBody>
    </xdr:sp>
    <xdr:clientData/>
  </xdr:twoCellAnchor>
  <xdr:twoCellAnchor>
    <xdr:from>
      <xdr:col>3</xdr:col>
      <xdr:colOff>0</xdr:colOff>
      <xdr:row>0</xdr:row>
      <xdr:rowOff>409575</xdr:rowOff>
    </xdr:from>
    <xdr:to>
      <xdr:col>4</xdr:col>
      <xdr:colOff>706755</xdr:colOff>
      <xdr:row>0</xdr:row>
      <xdr:rowOff>657225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558540" y="409575"/>
          <a:ext cx="187261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 5</a:t>
          </a:r>
        </a:p>
      </xdr:txBody>
    </xdr:sp>
    <xdr:clientData/>
  </xdr:twoCellAnchor>
  <xdr:twoCellAnchor>
    <xdr:from>
      <xdr:col>4</xdr:col>
      <xdr:colOff>754380</xdr:colOff>
      <xdr:row>0</xdr:row>
      <xdr:rowOff>123825</xdr:rowOff>
    </xdr:from>
    <xdr:to>
      <xdr:col>5</xdr:col>
      <xdr:colOff>1049655</xdr:colOff>
      <xdr:row>0</xdr:row>
      <xdr:rowOff>371475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478780" y="123825"/>
          <a:ext cx="146875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3</a:t>
          </a:r>
          <a:endParaRPr lang="pt-BR" sz="1300" b="1"/>
        </a:p>
      </xdr:txBody>
    </xdr:sp>
    <xdr:clientData/>
  </xdr:twoCellAnchor>
  <xdr:twoCellAnchor>
    <xdr:from>
      <xdr:col>4</xdr:col>
      <xdr:colOff>754380</xdr:colOff>
      <xdr:row>0</xdr:row>
      <xdr:rowOff>409575</xdr:rowOff>
    </xdr:from>
    <xdr:to>
      <xdr:col>5</xdr:col>
      <xdr:colOff>1049655</xdr:colOff>
      <xdr:row>0</xdr:row>
      <xdr:rowOff>657225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478780" y="409575"/>
          <a:ext cx="146875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6</a:t>
          </a:r>
        </a:p>
      </xdr:txBody>
    </xdr:sp>
    <xdr:clientData/>
  </xdr:twoCellAnchor>
  <xdr:oneCellAnchor>
    <xdr:from>
      <xdr:col>1</xdr:col>
      <xdr:colOff>514350</xdr:colOff>
      <xdr:row>72</xdr:row>
      <xdr:rowOff>123825</xdr:rowOff>
    </xdr:from>
    <xdr:ext cx="7248525" cy="436786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733425" y="14763750"/>
          <a:ext cx="72485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Este relatório não substitui exame médico. Trata-se apenas de informações para que educadores físicos possam prescrever o treinamento de maneira correta e responsável. Consulte sempre o seu médico antes de realizar qualquer atividade física.</a:t>
          </a:r>
        </a:p>
      </xdr:txBody>
    </xdr:sp>
    <xdr:clientData/>
  </xdr:oneCellAnchor>
  <xdr:twoCellAnchor>
    <xdr:from>
      <xdr:col>5</xdr:col>
      <xdr:colOff>1097280</xdr:colOff>
      <xdr:row>0</xdr:row>
      <xdr:rowOff>116204</xdr:rowOff>
    </xdr:from>
    <xdr:to>
      <xdr:col>7</xdr:col>
      <xdr:colOff>219075</xdr:colOff>
      <xdr:row>0</xdr:row>
      <xdr:rowOff>655319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E28F8CD-2264-480F-B60C-5113D4E88263}"/>
            </a:ext>
          </a:extLst>
        </xdr:cNvPr>
        <xdr:cNvSpPr/>
      </xdr:nvSpPr>
      <xdr:spPr>
        <a:xfrm>
          <a:off x="6995160" y="116204"/>
          <a:ext cx="1468755" cy="539115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Instruções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225669</xdr:colOff>
      <xdr:row>0</xdr:row>
      <xdr:rowOff>44694</xdr:rowOff>
    </xdr:from>
    <xdr:to>
      <xdr:col>2</xdr:col>
      <xdr:colOff>749544</xdr:colOff>
      <xdr:row>0</xdr:row>
      <xdr:rowOff>292344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669" y="44694"/>
          <a:ext cx="986937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0</xdr:col>
      <xdr:colOff>225669</xdr:colOff>
      <xdr:row>0</xdr:row>
      <xdr:rowOff>330444</xdr:rowOff>
    </xdr:from>
    <xdr:to>
      <xdr:col>2</xdr:col>
      <xdr:colOff>749544</xdr:colOff>
      <xdr:row>1</xdr:row>
      <xdr:rowOff>6594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5669" y="330444"/>
          <a:ext cx="986937" cy="250581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2</xdr:col>
      <xdr:colOff>797169</xdr:colOff>
      <xdr:row>0</xdr:row>
      <xdr:rowOff>44694</xdr:rowOff>
    </xdr:from>
    <xdr:to>
      <xdr:col>4</xdr:col>
      <xdr:colOff>263770</xdr:colOff>
      <xdr:row>0</xdr:row>
      <xdr:rowOff>292344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60231" y="44694"/>
          <a:ext cx="102577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1</a:t>
          </a:r>
          <a:endParaRPr lang="pt-BR" sz="1300" b="1"/>
        </a:p>
      </xdr:txBody>
    </xdr:sp>
    <xdr:clientData/>
  </xdr:twoCellAnchor>
  <xdr:twoCellAnchor>
    <xdr:from>
      <xdr:col>2</xdr:col>
      <xdr:colOff>797169</xdr:colOff>
      <xdr:row>0</xdr:row>
      <xdr:rowOff>330444</xdr:rowOff>
    </xdr:from>
    <xdr:to>
      <xdr:col>4</xdr:col>
      <xdr:colOff>263770</xdr:colOff>
      <xdr:row>1</xdr:row>
      <xdr:rowOff>6594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60231" y="330444"/>
          <a:ext cx="1025770" cy="250581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4</a:t>
          </a:r>
          <a:endParaRPr lang="pt-BR" sz="1300" b="1"/>
        </a:p>
      </xdr:txBody>
    </xdr:sp>
    <xdr:clientData/>
  </xdr:twoCellAnchor>
  <xdr:twoCellAnchor>
    <xdr:from>
      <xdr:col>4</xdr:col>
      <xdr:colOff>311395</xdr:colOff>
      <xdr:row>0</xdr:row>
      <xdr:rowOff>44694</xdr:rowOff>
    </xdr:from>
    <xdr:to>
      <xdr:col>4</xdr:col>
      <xdr:colOff>1292469</xdr:colOff>
      <xdr:row>0</xdr:row>
      <xdr:rowOff>292344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333626" y="44694"/>
          <a:ext cx="981074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2</a:t>
          </a:r>
          <a:endParaRPr lang="pt-BR" sz="1300" b="1"/>
        </a:p>
      </xdr:txBody>
    </xdr:sp>
    <xdr:clientData/>
  </xdr:twoCellAnchor>
  <xdr:twoCellAnchor>
    <xdr:from>
      <xdr:col>4</xdr:col>
      <xdr:colOff>311395</xdr:colOff>
      <xdr:row>0</xdr:row>
      <xdr:rowOff>330444</xdr:rowOff>
    </xdr:from>
    <xdr:to>
      <xdr:col>4</xdr:col>
      <xdr:colOff>1292469</xdr:colOff>
      <xdr:row>1</xdr:row>
      <xdr:rowOff>6594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333626" y="330444"/>
          <a:ext cx="981074" cy="250581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 5</a:t>
          </a:r>
        </a:p>
      </xdr:txBody>
    </xdr:sp>
    <xdr:clientData/>
  </xdr:twoCellAnchor>
  <xdr:twoCellAnchor>
    <xdr:from>
      <xdr:col>4</xdr:col>
      <xdr:colOff>1340094</xdr:colOff>
      <xdr:row>0</xdr:row>
      <xdr:rowOff>44694</xdr:rowOff>
    </xdr:from>
    <xdr:to>
      <xdr:col>5</xdr:col>
      <xdr:colOff>373673</xdr:colOff>
      <xdr:row>0</xdr:row>
      <xdr:rowOff>292344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62325" y="44694"/>
          <a:ext cx="1044086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3</a:t>
          </a:r>
          <a:endParaRPr lang="pt-BR" sz="1300" b="1"/>
        </a:p>
      </xdr:txBody>
    </xdr:sp>
    <xdr:clientData/>
  </xdr:twoCellAnchor>
  <xdr:twoCellAnchor>
    <xdr:from>
      <xdr:col>4</xdr:col>
      <xdr:colOff>1340094</xdr:colOff>
      <xdr:row>0</xdr:row>
      <xdr:rowOff>330444</xdr:rowOff>
    </xdr:from>
    <xdr:to>
      <xdr:col>5</xdr:col>
      <xdr:colOff>373673</xdr:colOff>
      <xdr:row>1</xdr:row>
      <xdr:rowOff>6594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62325" y="330444"/>
          <a:ext cx="1044086" cy="250581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2</xdr:col>
      <xdr:colOff>561975</xdr:colOff>
      <xdr:row>33</xdr:row>
      <xdr:rowOff>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09600" y="4714875"/>
          <a:ext cx="771525" cy="295275"/>
        </a:xfrm>
        <a:prstGeom prst="rect">
          <a:avLst/>
        </a:prstGeom>
        <a:solidFill>
          <a:srgbClr val="1F5EA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 b="0">
              <a:solidFill>
                <a:schemeClr val="bg1"/>
              </a:solidFill>
            </a:rPr>
            <a:t>Par-Q</a:t>
          </a:r>
        </a:p>
      </xdr:txBody>
    </xdr:sp>
    <xdr:clientData/>
  </xdr:twoCellAnchor>
  <xdr:twoCellAnchor>
    <xdr:from>
      <xdr:col>1</xdr:col>
      <xdr:colOff>0</xdr:colOff>
      <xdr:row>1</xdr:row>
      <xdr:rowOff>666750</xdr:rowOff>
    </xdr:from>
    <xdr:to>
      <xdr:col>2</xdr:col>
      <xdr:colOff>1295400</xdr:colOff>
      <xdr:row>3</xdr:row>
      <xdr:rowOff>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19075" y="666750"/>
          <a:ext cx="1504950" cy="295275"/>
        </a:xfrm>
        <a:prstGeom prst="rect">
          <a:avLst/>
        </a:prstGeom>
        <a:solidFill>
          <a:srgbClr val="1F5EA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 b="0">
              <a:solidFill>
                <a:schemeClr val="bg1"/>
              </a:solidFill>
            </a:rPr>
            <a:t>Anamnese Clínica </a:t>
          </a:r>
        </a:p>
      </xdr:txBody>
    </xdr:sp>
    <xdr:clientData/>
  </xdr:twoCellAnchor>
  <xdr:twoCellAnchor>
    <xdr:from>
      <xdr:col>2</xdr:col>
      <xdr:colOff>145473</xdr:colOff>
      <xdr:row>0</xdr:row>
      <xdr:rowOff>142875</xdr:rowOff>
    </xdr:from>
    <xdr:to>
      <xdr:col>2</xdr:col>
      <xdr:colOff>1126548</xdr:colOff>
      <xdr:row>0</xdr:row>
      <xdr:rowOff>390525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88818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2</xdr:col>
      <xdr:colOff>145473</xdr:colOff>
      <xdr:row>0</xdr:row>
      <xdr:rowOff>428625</xdr:rowOff>
    </xdr:from>
    <xdr:to>
      <xdr:col>2</xdr:col>
      <xdr:colOff>1126548</xdr:colOff>
      <xdr:row>0</xdr:row>
      <xdr:rowOff>676275</xdr:rowOff>
    </xdr:to>
    <xdr:sp macro="" textlink="">
      <xdr:nvSpPr>
        <xdr:cNvPr id="17" name="Retângul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88818" y="42862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2</xdr:col>
      <xdr:colOff>1174173</xdr:colOff>
      <xdr:row>0</xdr:row>
      <xdr:rowOff>142875</xdr:rowOff>
    </xdr:from>
    <xdr:to>
      <xdr:col>2</xdr:col>
      <xdr:colOff>2155248</xdr:colOff>
      <xdr:row>0</xdr:row>
      <xdr:rowOff>390525</xdr:rowOff>
    </xdr:to>
    <xdr:sp macro="" textlink="">
      <xdr:nvSpPr>
        <xdr:cNvPr id="19" name="Retângulo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17518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1</a:t>
          </a:r>
          <a:endParaRPr lang="pt-BR" sz="1300" b="1"/>
        </a:p>
      </xdr:txBody>
    </xdr:sp>
    <xdr:clientData/>
  </xdr:twoCellAnchor>
  <xdr:twoCellAnchor>
    <xdr:from>
      <xdr:col>2</xdr:col>
      <xdr:colOff>1174173</xdr:colOff>
      <xdr:row>0</xdr:row>
      <xdr:rowOff>428625</xdr:rowOff>
    </xdr:from>
    <xdr:to>
      <xdr:col>2</xdr:col>
      <xdr:colOff>2155248</xdr:colOff>
      <xdr:row>0</xdr:row>
      <xdr:rowOff>676275</xdr:rowOff>
    </xdr:to>
    <xdr:sp macro="" textlink="">
      <xdr:nvSpPr>
        <xdr:cNvPr id="20" name="Retângul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617518" y="42862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4</a:t>
          </a:r>
          <a:endParaRPr lang="pt-BR" sz="1300" b="1"/>
        </a:p>
      </xdr:txBody>
    </xdr:sp>
    <xdr:clientData/>
  </xdr:twoCellAnchor>
  <xdr:twoCellAnchor>
    <xdr:from>
      <xdr:col>2</xdr:col>
      <xdr:colOff>2202873</xdr:colOff>
      <xdr:row>0</xdr:row>
      <xdr:rowOff>142875</xdr:rowOff>
    </xdr:from>
    <xdr:to>
      <xdr:col>2</xdr:col>
      <xdr:colOff>3183948</xdr:colOff>
      <xdr:row>0</xdr:row>
      <xdr:rowOff>390525</xdr:rowOff>
    </xdr:to>
    <xdr:sp macro="" textlink="">
      <xdr:nvSpPr>
        <xdr:cNvPr id="21" name="Retângulo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646218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2</a:t>
          </a:r>
          <a:endParaRPr lang="pt-BR" sz="1300" b="1"/>
        </a:p>
      </xdr:txBody>
    </xdr:sp>
    <xdr:clientData/>
  </xdr:twoCellAnchor>
  <xdr:twoCellAnchor>
    <xdr:from>
      <xdr:col>2</xdr:col>
      <xdr:colOff>2202873</xdr:colOff>
      <xdr:row>0</xdr:row>
      <xdr:rowOff>428625</xdr:rowOff>
    </xdr:from>
    <xdr:to>
      <xdr:col>2</xdr:col>
      <xdr:colOff>3183948</xdr:colOff>
      <xdr:row>0</xdr:row>
      <xdr:rowOff>676275</xdr:rowOff>
    </xdr:to>
    <xdr:sp macro="" textlink="">
      <xdr:nvSpPr>
        <xdr:cNvPr id="22" name="Retângul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646218" y="42862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 5</a:t>
          </a:r>
        </a:p>
      </xdr:txBody>
    </xdr:sp>
    <xdr:clientData/>
  </xdr:twoCellAnchor>
  <xdr:twoCellAnchor>
    <xdr:from>
      <xdr:col>2</xdr:col>
      <xdr:colOff>3231573</xdr:colOff>
      <xdr:row>0</xdr:row>
      <xdr:rowOff>142875</xdr:rowOff>
    </xdr:from>
    <xdr:to>
      <xdr:col>4</xdr:col>
      <xdr:colOff>290946</xdr:colOff>
      <xdr:row>0</xdr:row>
      <xdr:rowOff>390525</xdr:rowOff>
    </xdr:to>
    <xdr:sp macro="" textlink="">
      <xdr:nvSpPr>
        <xdr:cNvPr id="23" name="Retângulo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674918" y="142875"/>
          <a:ext cx="111875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3</a:t>
          </a:r>
          <a:endParaRPr lang="pt-BR" sz="1300" b="1"/>
        </a:p>
      </xdr:txBody>
    </xdr:sp>
    <xdr:clientData/>
  </xdr:twoCellAnchor>
  <xdr:twoCellAnchor>
    <xdr:from>
      <xdr:col>2</xdr:col>
      <xdr:colOff>3231573</xdr:colOff>
      <xdr:row>0</xdr:row>
      <xdr:rowOff>428625</xdr:rowOff>
    </xdr:from>
    <xdr:to>
      <xdr:col>4</xdr:col>
      <xdr:colOff>290946</xdr:colOff>
      <xdr:row>0</xdr:row>
      <xdr:rowOff>676275</xdr:rowOff>
    </xdr:to>
    <xdr:sp macro="" textlink="">
      <xdr:nvSpPr>
        <xdr:cNvPr id="24" name="Retângulo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674918" y="428625"/>
          <a:ext cx="111875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Avaliação</a:t>
          </a:r>
          <a:r>
            <a:rPr lang="pt-BR" sz="1300" b="1" baseline="0"/>
            <a:t> 6</a:t>
          </a:r>
        </a:p>
      </xdr:txBody>
    </xdr:sp>
    <xdr:clientData/>
  </xdr:twoCellAnchor>
  <xdr:twoCellAnchor>
    <xdr:from>
      <xdr:col>4</xdr:col>
      <xdr:colOff>342033</xdr:colOff>
      <xdr:row>0</xdr:row>
      <xdr:rowOff>142875</xdr:rowOff>
    </xdr:from>
    <xdr:to>
      <xdr:col>7</xdr:col>
      <xdr:colOff>96115</xdr:colOff>
      <xdr:row>0</xdr:row>
      <xdr:rowOff>678873</xdr:rowOff>
    </xdr:to>
    <xdr:sp macro="" textlink="">
      <xdr:nvSpPr>
        <xdr:cNvPr id="2" name="Retângulo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59AAFAC-2604-4A44-B5E6-989D741F2B6A}"/>
            </a:ext>
          </a:extLst>
        </xdr:cNvPr>
        <xdr:cNvSpPr/>
      </xdr:nvSpPr>
      <xdr:spPr>
        <a:xfrm>
          <a:off x="4844760" y="142875"/>
          <a:ext cx="1118755" cy="535998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/>
            <a:t>Instruções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177312</xdr:colOff>
      <xdr:row>11</xdr:row>
      <xdr:rowOff>161924</xdr:rowOff>
    </xdr:from>
    <xdr:to>
      <xdr:col>8</xdr:col>
      <xdr:colOff>19863</xdr:colOff>
      <xdr:row>33</xdr:row>
      <xdr:rowOff>38099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187" y="2971799"/>
          <a:ext cx="3407018" cy="2657475"/>
        </a:xfrm>
        <a:prstGeom prst="rect">
          <a:avLst/>
        </a:prstGeom>
      </xdr:spPr>
    </xdr:pic>
    <xdr:clientData/>
  </xdr:twoCellAnchor>
  <xdr:twoCellAnchor editAs="oneCell">
    <xdr:from>
      <xdr:col>15</xdr:col>
      <xdr:colOff>269876</xdr:colOff>
      <xdr:row>11</xdr:row>
      <xdr:rowOff>23286</xdr:rowOff>
    </xdr:from>
    <xdr:to>
      <xdr:col>17</xdr:col>
      <xdr:colOff>439959</xdr:colOff>
      <xdr:row>32</xdr:row>
      <xdr:rowOff>147110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0459" y="2827869"/>
          <a:ext cx="1397751" cy="275907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18" name="Retângul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4</xdr:col>
      <xdr:colOff>457201</xdr:colOff>
      <xdr:row>0</xdr:row>
      <xdr:rowOff>390525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/>
      </xdr:nvSpPr>
      <xdr:spPr>
        <a:xfrm>
          <a:off x="1247776" y="142875"/>
          <a:ext cx="1866900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4</xdr:col>
      <xdr:colOff>485775</xdr:colOff>
      <xdr:row>0</xdr:row>
      <xdr:rowOff>142875</xdr:rowOff>
    </xdr:from>
    <xdr:to>
      <xdr:col>8</xdr:col>
      <xdr:colOff>523875</xdr:colOff>
      <xdr:row>0</xdr:row>
      <xdr:rowOff>390525</xdr:rowOff>
    </xdr:to>
    <xdr:sp macro="" textlink="">
      <xdr:nvSpPr>
        <xdr:cNvPr id="20" name="Retângul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/>
      </xdr:nvSpPr>
      <xdr:spPr>
        <a:xfrm>
          <a:off x="3143250" y="142875"/>
          <a:ext cx="2505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9</xdr:col>
      <xdr:colOff>53761</xdr:colOff>
      <xdr:row>0</xdr:row>
      <xdr:rowOff>142875</xdr:rowOff>
    </xdr:from>
    <xdr:to>
      <xdr:col>12</xdr:col>
      <xdr:colOff>152400</xdr:colOff>
      <xdr:row>0</xdr:row>
      <xdr:rowOff>391275</xdr:rowOff>
    </xdr:to>
    <xdr:sp macro="" textlink="">
      <xdr:nvSpPr>
        <xdr:cNvPr id="21" name="Retângulo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/>
      </xdr:nvSpPr>
      <xdr:spPr>
        <a:xfrm>
          <a:off x="6437628" y="142875"/>
          <a:ext cx="1224705" cy="24840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12</xdr:col>
      <xdr:colOff>190076</xdr:colOff>
      <xdr:row>0</xdr:row>
      <xdr:rowOff>142875</xdr:rowOff>
    </xdr:from>
    <xdr:to>
      <xdr:col>15</xdr:col>
      <xdr:colOff>228600</xdr:colOff>
      <xdr:row>0</xdr:row>
      <xdr:rowOff>389467</xdr:rowOff>
    </xdr:to>
    <xdr:sp macro="" textlink="">
      <xdr:nvSpPr>
        <xdr:cNvPr id="22" name="Retângul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/>
      </xdr:nvSpPr>
      <xdr:spPr>
        <a:xfrm>
          <a:off x="7700009" y="142875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9</xdr:col>
      <xdr:colOff>115147</xdr:colOff>
      <xdr:row>37</xdr:row>
      <xdr:rowOff>98425</xdr:rowOff>
    </xdr:from>
    <xdr:to>
      <xdr:col>24</xdr:col>
      <xdr:colOff>16934</xdr:colOff>
      <xdr:row>49</xdr:row>
      <xdr:rowOff>33867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76200</xdr:colOff>
      <xdr:row>24</xdr:row>
      <xdr:rowOff>67735</xdr:rowOff>
    </xdr:from>
    <xdr:to>
      <xdr:col>23</xdr:col>
      <xdr:colOff>33867</xdr:colOff>
      <xdr:row>33</xdr:row>
      <xdr:rowOff>48470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EC3CA42-1C3E-4D6E-B437-CA0BFA57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09867" y="4495802"/>
          <a:ext cx="2243667" cy="1081401"/>
        </a:xfrm>
        <a:prstGeom prst="rect">
          <a:avLst/>
        </a:prstGeom>
      </xdr:spPr>
    </xdr:pic>
    <xdr:clientData/>
  </xdr:twoCellAnchor>
  <xdr:twoCellAnchor>
    <xdr:from>
      <xdr:col>15</xdr:col>
      <xdr:colOff>274746</xdr:colOff>
      <xdr:row>0</xdr:row>
      <xdr:rowOff>142875</xdr:rowOff>
    </xdr:from>
    <xdr:to>
      <xdr:col>17</xdr:col>
      <xdr:colOff>567270</xdr:colOff>
      <xdr:row>0</xdr:row>
      <xdr:rowOff>389467</xdr:rowOff>
    </xdr:to>
    <xdr:sp macro="" textlink="">
      <xdr:nvSpPr>
        <xdr:cNvPr id="5" name="Retângulo 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164D5A2-E82F-4C84-BDD1-8D14D36D949D}"/>
            </a:ext>
          </a:extLst>
        </xdr:cNvPr>
        <xdr:cNvSpPr/>
      </xdr:nvSpPr>
      <xdr:spPr>
        <a:xfrm>
          <a:off x="9291746" y="142875"/>
          <a:ext cx="1545591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177312</xdr:colOff>
      <xdr:row>11</xdr:row>
      <xdr:rowOff>161924</xdr:rowOff>
    </xdr:from>
    <xdr:to>
      <xdr:col>8</xdr:col>
      <xdr:colOff>19863</xdr:colOff>
      <xdr:row>33</xdr:row>
      <xdr:rowOff>38099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212" y="2971799"/>
          <a:ext cx="3407018" cy="26574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4</xdr:col>
      <xdr:colOff>457201</xdr:colOff>
      <xdr:row>0</xdr:row>
      <xdr:rowOff>390525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1247776" y="142875"/>
          <a:ext cx="2066925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4</xdr:col>
      <xdr:colOff>485775</xdr:colOff>
      <xdr:row>0</xdr:row>
      <xdr:rowOff>142875</xdr:rowOff>
    </xdr:from>
    <xdr:to>
      <xdr:col>8</xdr:col>
      <xdr:colOff>523875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/>
      </xdr:nvSpPr>
      <xdr:spPr>
        <a:xfrm>
          <a:off x="3343275" y="142875"/>
          <a:ext cx="26860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9</xdr:col>
      <xdr:colOff>53765</xdr:colOff>
      <xdr:row>0</xdr:row>
      <xdr:rowOff>142874</xdr:rowOff>
    </xdr:from>
    <xdr:to>
      <xdr:col>12</xdr:col>
      <xdr:colOff>76200</xdr:colOff>
      <xdr:row>0</xdr:row>
      <xdr:rowOff>391274</xdr:rowOff>
    </xdr:to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6437632" y="142874"/>
          <a:ext cx="1148501" cy="24840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12</xdr:col>
      <xdr:colOff>120644</xdr:colOff>
      <xdr:row>0</xdr:row>
      <xdr:rowOff>142875</xdr:rowOff>
    </xdr:from>
    <xdr:to>
      <xdr:col>15</xdr:col>
      <xdr:colOff>259577</xdr:colOff>
      <xdr:row>0</xdr:row>
      <xdr:rowOff>390525</xdr:rowOff>
    </xdr:to>
    <xdr:sp macro="" textlink="">
      <xdr:nvSpPr>
        <xdr:cNvPr id="15" name="Retângul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/>
      </xdr:nvSpPr>
      <xdr:spPr>
        <a:xfrm>
          <a:off x="7630577" y="142875"/>
          <a:ext cx="1544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10</xdr:col>
      <xdr:colOff>0</xdr:colOff>
      <xdr:row>37</xdr:row>
      <xdr:rowOff>123824</xdr:rowOff>
    </xdr:from>
    <xdr:to>
      <xdr:col>24</xdr:col>
      <xdr:colOff>8466</xdr:colOff>
      <xdr:row>49</xdr:row>
      <xdr:rowOff>16934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15</xdr:col>
      <xdr:colOff>295275</xdr:colOff>
      <xdr:row>11</xdr:row>
      <xdr:rowOff>19050</xdr:rowOff>
    </xdr:from>
    <xdr:to>
      <xdr:col>17</xdr:col>
      <xdr:colOff>473825</xdr:colOff>
      <xdr:row>32</xdr:row>
      <xdr:rowOff>179704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28925"/>
          <a:ext cx="1397751" cy="2759074"/>
        </a:xfrm>
        <a:prstGeom prst="rect">
          <a:avLst/>
        </a:prstGeom>
      </xdr:spPr>
    </xdr:pic>
    <xdr:clientData/>
  </xdr:twoCellAnchor>
  <xdr:twoCellAnchor editAs="oneCell">
    <xdr:from>
      <xdr:col>20</xdr:col>
      <xdr:colOff>84656</xdr:colOff>
      <xdr:row>24</xdr:row>
      <xdr:rowOff>59261</xdr:rowOff>
    </xdr:from>
    <xdr:to>
      <xdr:col>23</xdr:col>
      <xdr:colOff>42323</xdr:colOff>
      <xdr:row>33</xdr:row>
      <xdr:rowOff>39996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DA2406-34A9-4531-B924-76CA30A14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658589" y="4487328"/>
          <a:ext cx="2243667" cy="1081401"/>
        </a:xfrm>
        <a:prstGeom prst="rect">
          <a:avLst/>
        </a:prstGeom>
      </xdr:spPr>
    </xdr:pic>
    <xdr:clientData/>
  </xdr:twoCellAnchor>
  <xdr:twoCellAnchor>
    <xdr:from>
      <xdr:col>15</xdr:col>
      <xdr:colOff>306495</xdr:colOff>
      <xdr:row>0</xdr:row>
      <xdr:rowOff>143926</xdr:rowOff>
    </xdr:from>
    <xdr:to>
      <xdr:col>17</xdr:col>
      <xdr:colOff>599020</xdr:colOff>
      <xdr:row>0</xdr:row>
      <xdr:rowOff>390518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5DD715-B7B9-41BF-BEE0-88DC1A0E80C6}"/>
            </a:ext>
          </a:extLst>
        </xdr:cNvPr>
        <xdr:cNvSpPr/>
      </xdr:nvSpPr>
      <xdr:spPr>
        <a:xfrm>
          <a:off x="9221895" y="143926"/>
          <a:ext cx="1545592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177312</xdr:colOff>
      <xdr:row>11</xdr:row>
      <xdr:rowOff>161924</xdr:rowOff>
    </xdr:from>
    <xdr:to>
      <xdr:col>8</xdr:col>
      <xdr:colOff>12455</xdr:colOff>
      <xdr:row>33</xdr:row>
      <xdr:rowOff>38099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212" y="2971799"/>
          <a:ext cx="3407018" cy="2657475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285751</xdr:colOff>
      <xdr:row>11</xdr:row>
      <xdr:rowOff>19052</xdr:rowOff>
    </xdr:from>
    <xdr:to>
      <xdr:col>17</xdr:col>
      <xdr:colOff>455834</xdr:colOff>
      <xdr:row>32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6" y="2828927"/>
          <a:ext cx="1389283" cy="271462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</a:t>
          </a:r>
          <a:r>
            <a:rPr lang="pt-BR" sz="1400" b="1" baseline="0"/>
            <a:t> Menu</a:t>
          </a:r>
          <a:endParaRPr lang="pt-BR" sz="1400" b="1"/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4</xdr:col>
      <xdr:colOff>457201</xdr:colOff>
      <xdr:row>0</xdr:row>
      <xdr:rowOff>390525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/>
      </xdr:nvSpPr>
      <xdr:spPr>
        <a:xfrm>
          <a:off x="1247776" y="142875"/>
          <a:ext cx="2066925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4</xdr:col>
      <xdr:colOff>485775</xdr:colOff>
      <xdr:row>0</xdr:row>
      <xdr:rowOff>142875</xdr:rowOff>
    </xdr:from>
    <xdr:to>
      <xdr:col>8</xdr:col>
      <xdr:colOff>523875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/>
      </xdr:nvSpPr>
      <xdr:spPr>
        <a:xfrm>
          <a:off x="3343275" y="142875"/>
          <a:ext cx="26860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9</xdr:col>
      <xdr:colOff>53757</xdr:colOff>
      <xdr:row>0</xdr:row>
      <xdr:rowOff>142875</xdr:rowOff>
    </xdr:from>
    <xdr:to>
      <xdr:col>12</xdr:col>
      <xdr:colOff>76091</xdr:colOff>
      <xdr:row>0</xdr:row>
      <xdr:rowOff>390525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/>
      </xdr:nvSpPr>
      <xdr:spPr>
        <a:xfrm>
          <a:off x="6437624" y="142875"/>
          <a:ext cx="1148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12</xdr:col>
      <xdr:colOff>105410</xdr:colOff>
      <xdr:row>0</xdr:row>
      <xdr:rowOff>142875</xdr:rowOff>
    </xdr:from>
    <xdr:to>
      <xdr:col>15</xdr:col>
      <xdr:colOff>312076</xdr:colOff>
      <xdr:row>0</xdr:row>
      <xdr:rowOff>390525</xdr:rowOff>
    </xdr:to>
    <xdr:sp macro="" textlink="">
      <xdr:nvSpPr>
        <xdr:cNvPr id="15" name="Retângul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/>
      </xdr:nvSpPr>
      <xdr:spPr>
        <a:xfrm>
          <a:off x="7615343" y="142875"/>
          <a:ext cx="1578266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9</xdr:col>
      <xdr:colOff>118532</xdr:colOff>
      <xdr:row>37</xdr:row>
      <xdr:rowOff>123824</xdr:rowOff>
    </xdr:from>
    <xdr:to>
      <xdr:col>24</xdr:col>
      <xdr:colOff>33866</xdr:colOff>
      <xdr:row>49</xdr:row>
      <xdr:rowOff>8467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110064</xdr:colOff>
      <xdr:row>24</xdr:row>
      <xdr:rowOff>50798</xdr:rowOff>
    </xdr:from>
    <xdr:to>
      <xdr:col>23</xdr:col>
      <xdr:colOff>67731</xdr:colOff>
      <xdr:row>33</xdr:row>
      <xdr:rowOff>31533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5850B02-E264-476F-AD1F-98AE0338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99797" y="4478865"/>
          <a:ext cx="2243667" cy="1081401"/>
        </a:xfrm>
        <a:prstGeom prst="rect">
          <a:avLst/>
        </a:prstGeom>
      </xdr:spPr>
    </xdr:pic>
    <xdr:clientData/>
  </xdr:twoCellAnchor>
  <xdr:twoCellAnchor>
    <xdr:from>
      <xdr:col>15</xdr:col>
      <xdr:colOff>338243</xdr:colOff>
      <xdr:row>0</xdr:row>
      <xdr:rowOff>144982</xdr:rowOff>
    </xdr:from>
    <xdr:to>
      <xdr:col>18</xdr:col>
      <xdr:colOff>4235</xdr:colOff>
      <xdr:row>0</xdr:row>
      <xdr:rowOff>391574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99D3D0B-DB6E-455F-9822-D20157997148}"/>
            </a:ext>
          </a:extLst>
        </xdr:cNvPr>
        <xdr:cNvSpPr/>
      </xdr:nvSpPr>
      <xdr:spPr>
        <a:xfrm>
          <a:off x="9219776" y="144982"/>
          <a:ext cx="1545592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177312</xdr:colOff>
      <xdr:row>11</xdr:row>
      <xdr:rowOff>161924</xdr:rowOff>
    </xdr:from>
    <xdr:to>
      <xdr:col>8</xdr:col>
      <xdr:colOff>12455</xdr:colOff>
      <xdr:row>33</xdr:row>
      <xdr:rowOff>38099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212" y="2971799"/>
          <a:ext cx="3407018" cy="2657475"/>
        </a:xfrm>
        <a:prstGeom prst="rect">
          <a:avLst/>
        </a:prstGeom>
      </xdr:spPr>
    </xdr:pic>
    <xdr:clientData/>
  </xdr:twoCellAnchor>
  <xdr:twoCellAnchor editAs="oneCell">
    <xdr:from>
      <xdr:col>15</xdr:col>
      <xdr:colOff>257176</xdr:colOff>
      <xdr:row>11</xdr:row>
      <xdr:rowOff>38102</xdr:rowOff>
    </xdr:from>
    <xdr:to>
      <xdr:col>17</xdr:col>
      <xdr:colOff>427258</xdr:colOff>
      <xdr:row>32</xdr:row>
      <xdr:rowOff>161926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1" y="2847977"/>
          <a:ext cx="1389283" cy="271462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/>
      </xdr:nvSpPr>
      <xdr:spPr>
        <a:xfrm>
          <a:off x="247650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4</xdr:col>
      <xdr:colOff>457201</xdr:colOff>
      <xdr:row>0</xdr:row>
      <xdr:rowOff>390525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/>
      </xdr:nvSpPr>
      <xdr:spPr>
        <a:xfrm>
          <a:off x="1247776" y="142875"/>
          <a:ext cx="2066925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4</xdr:col>
      <xdr:colOff>485775</xdr:colOff>
      <xdr:row>0</xdr:row>
      <xdr:rowOff>142875</xdr:rowOff>
    </xdr:from>
    <xdr:to>
      <xdr:col>8</xdr:col>
      <xdr:colOff>523875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/>
      </xdr:nvSpPr>
      <xdr:spPr>
        <a:xfrm>
          <a:off x="3343275" y="142875"/>
          <a:ext cx="26860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9</xdr:col>
      <xdr:colOff>44449</xdr:colOff>
      <xdr:row>0</xdr:row>
      <xdr:rowOff>142875</xdr:rowOff>
    </xdr:from>
    <xdr:to>
      <xdr:col>12</xdr:col>
      <xdr:colOff>66782</xdr:colOff>
      <xdr:row>0</xdr:row>
      <xdr:rowOff>390525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/>
      </xdr:nvSpPr>
      <xdr:spPr>
        <a:xfrm>
          <a:off x="6436782" y="142875"/>
          <a:ext cx="1148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12</xdr:col>
      <xdr:colOff>113875</xdr:colOff>
      <xdr:row>0</xdr:row>
      <xdr:rowOff>142875</xdr:rowOff>
    </xdr:from>
    <xdr:to>
      <xdr:col>15</xdr:col>
      <xdr:colOff>336008</xdr:colOff>
      <xdr:row>0</xdr:row>
      <xdr:rowOff>390525</xdr:rowOff>
    </xdr:to>
    <xdr:sp macro="" textlink="">
      <xdr:nvSpPr>
        <xdr:cNvPr id="15" name="Retângul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/>
      </xdr:nvSpPr>
      <xdr:spPr>
        <a:xfrm>
          <a:off x="7623808" y="142875"/>
          <a:ext cx="1576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9</xdr:col>
      <xdr:colOff>118532</xdr:colOff>
      <xdr:row>37</xdr:row>
      <xdr:rowOff>123825</xdr:rowOff>
    </xdr:from>
    <xdr:to>
      <xdr:col>24</xdr:col>
      <xdr:colOff>8466</xdr:colOff>
      <xdr:row>49</xdr:row>
      <xdr:rowOff>8467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93133</xdr:colOff>
      <xdr:row>24</xdr:row>
      <xdr:rowOff>42335</xdr:rowOff>
    </xdr:from>
    <xdr:to>
      <xdr:col>23</xdr:col>
      <xdr:colOff>42334</xdr:colOff>
      <xdr:row>33</xdr:row>
      <xdr:rowOff>23070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29953DA6-889E-4B28-8DC4-A9B1B6FFC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99800" y="4470402"/>
          <a:ext cx="2243667" cy="1081401"/>
        </a:xfrm>
        <a:prstGeom prst="rect">
          <a:avLst/>
        </a:prstGeom>
      </xdr:spPr>
    </xdr:pic>
    <xdr:clientData/>
  </xdr:twoCellAnchor>
  <xdr:twoCellAnchor>
    <xdr:from>
      <xdr:col>15</xdr:col>
      <xdr:colOff>369993</xdr:colOff>
      <xdr:row>0</xdr:row>
      <xdr:rowOff>143931</xdr:rowOff>
    </xdr:from>
    <xdr:to>
      <xdr:col>18</xdr:col>
      <xdr:colOff>8465</xdr:colOff>
      <xdr:row>0</xdr:row>
      <xdr:rowOff>389467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9ED0C4A-C007-4BAE-AA0F-FF36D605C270}"/>
            </a:ext>
          </a:extLst>
        </xdr:cNvPr>
        <xdr:cNvSpPr/>
      </xdr:nvSpPr>
      <xdr:spPr>
        <a:xfrm>
          <a:off x="9234593" y="143931"/>
          <a:ext cx="1518072" cy="245536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177312</xdr:colOff>
      <xdr:row>11</xdr:row>
      <xdr:rowOff>161924</xdr:rowOff>
    </xdr:from>
    <xdr:to>
      <xdr:col>8</xdr:col>
      <xdr:colOff>12455</xdr:colOff>
      <xdr:row>33</xdr:row>
      <xdr:rowOff>38099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212" y="2971799"/>
          <a:ext cx="3407018" cy="2657475"/>
        </a:xfrm>
        <a:prstGeom prst="rect">
          <a:avLst/>
        </a:prstGeom>
      </xdr:spPr>
    </xdr:pic>
    <xdr:clientData/>
  </xdr:twoCellAnchor>
  <xdr:twoCellAnchor editAs="oneCell">
    <xdr:from>
      <xdr:col>15</xdr:col>
      <xdr:colOff>247651</xdr:colOff>
      <xdr:row>11</xdr:row>
      <xdr:rowOff>38102</xdr:rowOff>
    </xdr:from>
    <xdr:to>
      <xdr:col>17</xdr:col>
      <xdr:colOff>417734</xdr:colOff>
      <xdr:row>32</xdr:row>
      <xdr:rowOff>161926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1" y="2847977"/>
          <a:ext cx="1389283" cy="271462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142875</xdr:rowOff>
    </xdr:from>
    <xdr:to>
      <xdr:col>1</xdr:col>
      <xdr:colOff>1000125</xdr:colOff>
      <xdr:row>0</xdr:row>
      <xdr:rowOff>390525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238125" y="142875"/>
          <a:ext cx="981075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&lt; Menu</a:t>
          </a:r>
        </a:p>
      </xdr:txBody>
    </xdr:sp>
    <xdr:clientData/>
  </xdr:twoCellAnchor>
  <xdr:twoCellAnchor>
    <xdr:from>
      <xdr:col>1</xdr:col>
      <xdr:colOff>1028701</xdr:colOff>
      <xdr:row>0</xdr:row>
      <xdr:rowOff>142875</xdr:rowOff>
    </xdr:from>
    <xdr:to>
      <xdr:col>4</xdr:col>
      <xdr:colOff>457201</xdr:colOff>
      <xdr:row>0</xdr:row>
      <xdr:rowOff>390525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/>
      </xdr:nvSpPr>
      <xdr:spPr>
        <a:xfrm>
          <a:off x="1247776" y="142875"/>
          <a:ext cx="2066925" cy="247650"/>
        </a:xfrm>
        <a:prstGeom prst="rect">
          <a:avLst/>
        </a:prstGeom>
        <a:solidFill>
          <a:srgbClr val="1F5E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Composição Corporal</a:t>
          </a:r>
        </a:p>
      </xdr:txBody>
    </xdr:sp>
    <xdr:clientData/>
  </xdr:twoCellAnchor>
  <xdr:twoCellAnchor>
    <xdr:from>
      <xdr:col>4</xdr:col>
      <xdr:colOff>485775</xdr:colOff>
      <xdr:row>0</xdr:row>
      <xdr:rowOff>142875</xdr:rowOff>
    </xdr:from>
    <xdr:to>
      <xdr:col>8</xdr:col>
      <xdr:colOff>523875</xdr:colOff>
      <xdr:row>0</xdr:row>
      <xdr:rowOff>390525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/>
      </xdr:nvSpPr>
      <xdr:spPr>
        <a:xfrm>
          <a:off x="3343275" y="142875"/>
          <a:ext cx="268605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Força / Resistência / Aeróbico</a:t>
          </a:r>
        </a:p>
      </xdr:txBody>
    </xdr:sp>
    <xdr:clientData/>
  </xdr:twoCellAnchor>
  <xdr:twoCellAnchor>
    <xdr:from>
      <xdr:col>9</xdr:col>
      <xdr:colOff>45297</xdr:colOff>
      <xdr:row>0</xdr:row>
      <xdr:rowOff>142875</xdr:rowOff>
    </xdr:from>
    <xdr:to>
      <xdr:col>12</xdr:col>
      <xdr:colOff>67631</xdr:colOff>
      <xdr:row>0</xdr:row>
      <xdr:rowOff>390525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/>
      </xdr:nvSpPr>
      <xdr:spPr>
        <a:xfrm>
          <a:off x="6429164" y="142875"/>
          <a:ext cx="11484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Flexibilidade</a:t>
          </a:r>
        </a:p>
      </xdr:txBody>
    </xdr:sp>
    <xdr:clientData/>
  </xdr:twoCellAnchor>
  <xdr:twoCellAnchor>
    <xdr:from>
      <xdr:col>12</xdr:col>
      <xdr:colOff>105411</xdr:colOff>
      <xdr:row>0</xdr:row>
      <xdr:rowOff>142875</xdr:rowOff>
    </xdr:from>
    <xdr:to>
      <xdr:col>15</xdr:col>
      <xdr:colOff>336011</xdr:colOff>
      <xdr:row>0</xdr:row>
      <xdr:rowOff>390525</xdr:rowOff>
    </xdr:to>
    <xdr:sp macro="" textlink="">
      <xdr:nvSpPr>
        <xdr:cNvPr id="15" name="Retângul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/>
      </xdr:nvSpPr>
      <xdr:spPr>
        <a:xfrm>
          <a:off x="7615344" y="142875"/>
          <a:ext cx="1576800" cy="247650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Relatório</a:t>
          </a:r>
        </a:p>
      </xdr:txBody>
    </xdr:sp>
    <xdr:clientData/>
  </xdr:twoCellAnchor>
  <xdr:twoCellAnchor>
    <xdr:from>
      <xdr:col>9</xdr:col>
      <xdr:colOff>118532</xdr:colOff>
      <xdr:row>37</xdr:row>
      <xdr:rowOff>123824</xdr:rowOff>
    </xdr:from>
    <xdr:to>
      <xdr:col>23</xdr:col>
      <xdr:colOff>126999</xdr:colOff>
      <xdr:row>49</xdr:row>
      <xdr:rowOff>8467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84666</xdr:colOff>
      <xdr:row>24</xdr:row>
      <xdr:rowOff>50799</xdr:rowOff>
    </xdr:from>
    <xdr:to>
      <xdr:col>23</xdr:col>
      <xdr:colOff>42333</xdr:colOff>
      <xdr:row>33</xdr:row>
      <xdr:rowOff>31534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8E0AEB87-AF0B-4A7C-9403-9764082FF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40533" y="4478866"/>
          <a:ext cx="2243667" cy="1081401"/>
        </a:xfrm>
        <a:prstGeom prst="rect">
          <a:avLst/>
        </a:prstGeom>
      </xdr:spPr>
    </xdr:pic>
    <xdr:clientData/>
  </xdr:twoCellAnchor>
  <xdr:twoCellAnchor>
    <xdr:from>
      <xdr:col>15</xdr:col>
      <xdr:colOff>376344</xdr:colOff>
      <xdr:row>0</xdr:row>
      <xdr:rowOff>143930</xdr:rowOff>
    </xdr:from>
    <xdr:to>
      <xdr:col>18</xdr:col>
      <xdr:colOff>42336</xdr:colOff>
      <xdr:row>0</xdr:row>
      <xdr:rowOff>390522</xdr:rowOff>
    </xdr:to>
    <xdr:sp macro="" textlink="">
      <xdr:nvSpPr>
        <xdr:cNvPr id="26" name="Retângulo 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01AE74-E5EB-406E-AF9F-EDCC113EF992}"/>
            </a:ext>
          </a:extLst>
        </xdr:cNvPr>
        <xdr:cNvSpPr/>
      </xdr:nvSpPr>
      <xdr:spPr>
        <a:xfrm>
          <a:off x="9232477" y="143930"/>
          <a:ext cx="1545592" cy="246592"/>
        </a:xfrm>
        <a:prstGeom prst="rect">
          <a:avLst/>
        </a:prstGeom>
        <a:solidFill>
          <a:srgbClr val="FF52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youtu.be/5Vs0blN7x7w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2:H2"/>
  <sheetViews>
    <sheetView showGridLines="0" tabSelected="1" zoomScale="115" zoomScaleNormal="115" workbookViewId="0">
      <selection activeCell="B2" sqref="B2:H2"/>
    </sheetView>
  </sheetViews>
  <sheetFormatPr defaultRowHeight="14.4" x14ac:dyDescent="0.3"/>
  <cols>
    <col min="1" max="1" width="18.44140625" customWidth="1"/>
    <col min="8" max="8" width="4.33203125" customWidth="1"/>
  </cols>
  <sheetData>
    <row r="2" spans="2:8" ht="38.4" customHeight="1" x14ac:dyDescent="0.3">
      <c r="B2" s="176" t="s">
        <v>192</v>
      </c>
      <c r="C2" s="176"/>
      <c r="D2" s="176"/>
      <c r="E2" s="176"/>
      <c r="F2" s="176"/>
      <c r="G2" s="176"/>
      <c r="H2" s="176"/>
    </row>
  </sheetData>
  <sheetProtection selectLockedCells="1"/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Y56"/>
  <sheetViews>
    <sheetView showGridLines="0" zoomScale="90" zoomScaleNormal="90" workbookViewId="0">
      <selection activeCell="C2" sqref="C2:D2"/>
    </sheetView>
  </sheetViews>
  <sheetFormatPr defaultColWidth="9.109375" defaultRowHeight="14.4" x14ac:dyDescent="0.3"/>
  <cols>
    <col min="1" max="1" width="3.33203125" style="55" customWidth="1"/>
    <col min="2" max="2" width="20.44140625" style="55" customWidth="1"/>
    <col min="3" max="3" width="10" style="55" customWidth="1"/>
    <col min="4" max="4" width="9.109375" style="55"/>
    <col min="5" max="5" width="10.5546875" style="55" customWidth="1"/>
    <col min="6" max="6" width="9.109375" style="55"/>
    <col min="7" max="7" width="9.5546875" style="55" bestFit="1" customWidth="1"/>
    <col min="8" max="8" width="15.109375" style="55" customWidth="1"/>
    <col min="9" max="9" width="5.77734375" style="55" customWidth="1"/>
    <col min="10" max="10" width="1.6640625" style="55" customWidth="1"/>
    <col min="11" max="11" width="2.33203125" style="55" customWidth="1"/>
    <col min="12" max="12" width="12.33203125" style="55" customWidth="1"/>
    <col min="13" max="13" width="9" style="55" customWidth="1"/>
    <col min="14" max="14" width="1.6640625" style="55" customWidth="1"/>
    <col min="15" max="15" width="9" style="55" customWidth="1"/>
    <col min="16" max="18" width="9.109375" style="55"/>
    <col min="19" max="19" width="1.88671875" style="55" customWidth="1"/>
    <col min="20" max="20" width="1.5546875" style="55" customWidth="1"/>
    <col min="21" max="21" width="2.6640625" style="55" customWidth="1"/>
    <col min="22" max="22" width="21.5546875" style="55" customWidth="1"/>
    <col min="23" max="23" width="9.109375" style="55"/>
    <col min="24" max="24" width="2.109375" style="55" customWidth="1"/>
    <col min="25" max="16384" width="9.109375" style="55"/>
  </cols>
  <sheetData>
    <row r="1" spans="2:25" ht="57" customHeight="1" x14ac:dyDescent="0.3"/>
    <row r="2" spans="2:25" ht="25.8" x14ac:dyDescent="0.3">
      <c r="B2" s="152" t="s">
        <v>223</v>
      </c>
      <c r="C2" s="251"/>
      <c r="D2" s="251"/>
      <c r="E2" s="250" t="s">
        <v>219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4" spans="2:25" ht="18.600000000000001" thickBot="1" x14ac:dyDescent="0.4">
      <c r="B4" s="249" t="s">
        <v>222</v>
      </c>
      <c r="C4" s="249"/>
      <c r="D4" s="249"/>
      <c r="E4" s="56"/>
      <c r="F4" s="56"/>
      <c r="G4" s="56"/>
      <c r="H4" s="56"/>
      <c r="I4" s="56"/>
      <c r="J4" s="56"/>
      <c r="K4" s="56"/>
      <c r="L4" s="56"/>
      <c r="M4" s="56"/>
      <c r="Q4" s="56"/>
      <c r="R4" s="56"/>
      <c r="S4" s="56"/>
      <c r="T4" s="56"/>
      <c r="U4" s="56"/>
      <c r="V4" s="56"/>
      <c r="W4" s="56"/>
      <c r="X4" s="56"/>
    </row>
    <row r="5" spans="2:25" ht="15" thickTop="1" x14ac:dyDescent="0.3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Y5" s="94"/>
    </row>
    <row r="6" spans="2:25" x14ac:dyDescent="0.3">
      <c r="B6" s="60" t="s">
        <v>59</v>
      </c>
      <c r="C6" s="61"/>
      <c r="E6" s="254" t="s">
        <v>227</v>
      </c>
      <c r="F6" s="254"/>
      <c r="G6" s="253" t="str">
        <f>IFERROR(C6/(C8*C8),"")</f>
        <v/>
      </c>
      <c r="H6" s="253"/>
      <c r="I6" s="253"/>
      <c r="L6" s="252" t="str">
        <f>IF(G6="","",IF(G6&lt;17,"Muito Abaixo do Peso",IF(AND(G6&gt;17,G6&lt;18.49),"Abaixo do Peso",IF(AND(G6&gt;18.5,G6&lt;24.99),"Peso Normal",IF(AND(G6&gt;25,G6&lt;29.99),"Sobrepeso",IF(AND(G6&gt;30,G6&lt;34.99),"Obesidade Grau 1",IF(AND(G6&gt;35,G6&lt;39.99),"Obesidade Grau 2",IF(G6&gt;40,"Obesidade Grau 3"))))))))</f>
        <v/>
      </c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Y6" s="94"/>
    </row>
    <row r="7" spans="2:25" x14ac:dyDescent="0.3">
      <c r="B7" s="60"/>
      <c r="C7" s="63"/>
      <c r="E7" s="254"/>
      <c r="F7" s="254"/>
      <c r="G7" s="253"/>
      <c r="H7" s="253"/>
      <c r="I7" s="253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Y7" s="94"/>
    </row>
    <row r="8" spans="2:25" x14ac:dyDescent="0.3">
      <c r="B8" s="60" t="s">
        <v>58</v>
      </c>
      <c r="C8" s="64"/>
      <c r="E8" s="254"/>
      <c r="F8" s="254"/>
      <c r="G8" s="253"/>
      <c r="H8" s="253"/>
      <c r="I8" s="253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Y8" s="94"/>
    </row>
    <row r="9" spans="2:25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94"/>
    </row>
    <row r="11" spans="2:25" ht="18.600000000000001" thickBot="1" x14ac:dyDescent="0.35">
      <c r="B11" s="245" t="s">
        <v>231</v>
      </c>
      <c r="C11" s="245"/>
      <c r="D11" s="245"/>
      <c r="E11" s="56"/>
      <c r="F11" s="56"/>
      <c r="G11" s="56"/>
      <c r="H11" s="56"/>
      <c r="I11" s="56"/>
      <c r="K11" s="245" t="s">
        <v>230</v>
      </c>
      <c r="L11" s="245"/>
      <c r="M11" s="245"/>
      <c r="N11" s="245"/>
      <c r="O11" s="245"/>
      <c r="P11" s="56"/>
      <c r="Q11" s="56"/>
      <c r="R11" s="56"/>
      <c r="S11" s="56"/>
      <c r="U11" s="245" t="s">
        <v>229</v>
      </c>
      <c r="V11" s="245"/>
      <c r="W11" s="245"/>
      <c r="X11" s="56"/>
    </row>
    <row r="12" spans="2:25" ht="15" thickTop="1" x14ac:dyDescent="0.3">
      <c r="B12" s="68"/>
      <c r="C12" s="243"/>
      <c r="D12" s="243"/>
      <c r="E12" s="243"/>
      <c r="F12" s="58"/>
      <c r="G12" s="58"/>
      <c r="H12" s="58"/>
      <c r="I12" s="69"/>
      <c r="K12" s="70"/>
      <c r="S12" s="71"/>
      <c r="U12" s="89"/>
      <c r="V12" s="58"/>
      <c r="W12" s="58"/>
      <c r="X12" s="90"/>
    </row>
    <row r="13" spans="2:25" x14ac:dyDescent="0.3">
      <c r="B13" s="72"/>
      <c r="I13" s="73"/>
      <c r="K13" s="70"/>
      <c r="M13" s="134" t="s">
        <v>165</v>
      </c>
      <c r="O13" s="134" t="s">
        <v>166</v>
      </c>
      <c r="S13" s="71"/>
      <c r="U13" s="70"/>
      <c r="X13" s="71"/>
    </row>
    <row r="14" spans="2:25" ht="5.0999999999999996" customHeight="1" x14ac:dyDescent="0.3">
      <c r="B14" s="72"/>
      <c r="I14" s="73"/>
      <c r="K14" s="70"/>
      <c r="S14" s="71"/>
      <c r="U14" s="70"/>
      <c r="X14" s="71"/>
    </row>
    <row r="15" spans="2:25" x14ac:dyDescent="0.3">
      <c r="B15" s="74" t="s">
        <v>61</v>
      </c>
      <c r="C15" s="61"/>
      <c r="I15" s="73"/>
      <c r="K15" s="70"/>
      <c r="L15" s="75" t="s">
        <v>22</v>
      </c>
      <c r="M15" s="61"/>
      <c r="N15" s="76"/>
      <c r="O15" s="76"/>
      <c r="S15" s="71"/>
      <c r="U15" s="70"/>
      <c r="V15" s="55" t="s">
        <v>224</v>
      </c>
      <c r="W15" s="61"/>
      <c r="X15" s="71"/>
    </row>
    <row r="16" spans="2:25" customFormat="1" ht="3.9" customHeight="1" x14ac:dyDescent="0.3">
      <c r="B16" s="85"/>
      <c r="C16" s="86"/>
      <c r="I16" s="87"/>
      <c r="K16" s="15"/>
      <c r="L16" s="14"/>
      <c r="M16" s="86"/>
      <c r="N16" s="86"/>
      <c r="O16" s="86"/>
      <c r="S16" s="16"/>
      <c r="U16" s="70"/>
      <c r="V16" s="55"/>
      <c r="W16" s="86"/>
      <c r="X16" s="16"/>
    </row>
    <row r="17" spans="2:24" x14ac:dyDescent="0.3">
      <c r="B17" s="74" t="s">
        <v>62</v>
      </c>
      <c r="C17" s="61"/>
      <c r="I17" s="73"/>
      <c r="K17" s="70"/>
      <c r="L17" s="75" t="s">
        <v>24</v>
      </c>
      <c r="M17" s="61"/>
      <c r="N17" s="76"/>
      <c r="O17" s="76"/>
      <c r="S17" s="71"/>
      <c r="U17" s="70"/>
      <c r="V17" s="55" t="s">
        <v>225</v>
      </c>
      <c r="W17" s="61"/>
      <c r="X17" s="71"/>
    </row>
    <row r="18" spans="2:24" customFormat="1" ht="3.9" customHeight="1" x14ac:dyDescent="0.3">
      <c r="B18" s="85"/>
      <c r="C18" s="86"/>
      <c r="I18" s="87"/>
      <c r="K18" s="15"/>
      <c r="L18" s="14"/>
      <c r="M18" s="86"/>
      <c r="N18" s="86"/>
      <c r="O18" s="86"/>
      <c r="S18" s="16"/>
      <c r="U18" s="70"/>
      <c r="V18" s="55"/>
      <c r="W18" s="86"/>
      <c r="X18" s="16"/>
    </row>
    <row r="19" spans="2:24" x14ac:dyDescent="0.3">
      <c r="B19" s="74" t="s">
        <v>63</v>
      </c>
      <c r="C19" s="61"/>
      <c r="I19" s="73"/>
      <c r="K19" s="70"/>
      <c r="L19" s="75" t="s">
        <v>26</v>
      </c>
      <c r="M19" s="61"/>
      <c r="N19" s="76"/>
      <c r="O19" s="76"/>
      <c r="S19" s="71"/>
      <c r="U19" s="70"/>
      <c r="V19" s="55" t="s">
        <v>226</v>
      </c>
      <c r="W19" s="61"/>
      <c r="X19" s="71"/>
    </row>
    <row r="20" spans="2:24" customFormat="1" ht="3.9" customHeight="1" x14ac:dyDescent="0.3">
      <c r="B20" s="85"/>
      <c r="C20" s="86"/>
      <c r="I20" s="87"/>
      <c r="K20" s="15"/>
      <c r="L20" s="14"/>
      <c r="M20" s="86"/>
      <c r="N20" s="86"/>
      <c r="O20" s="86"/>
      <c r="S20" s="16"/>
      <c r="U20" s="70"/>
      <c r="V20" s="55"/>
      <c r="W20" s="86"/>
      <c r="X20" s="16"/>
    </row>
    <row r="21" spans="2:24" x14ac:dyDescent="0.3">
      <c r="B21" s="74" t="s">
        <v>64</v>
      </c>
      <c r="C21" s="61"/>
      <c r="I21" s="73"/>
      <c r="K21" s="70"/>
      <c r="L21" s="75" t="s">
        <v>28</v>
      </c>
      <c r="M21" s="61"/>
      <c r="N21" s="76"/>
      <c r="O21" s="76"/>
      <c r="S21" s="71"/>
      <c r="U21" s="70"/>
      <c r="X21" s="71"/>
    </row>
    <row r="22" spans="2:24" customFormat="1" ht="3.9" customHeight="1" x14ac:dyDescent="0.3">
      <c r="B22" s="85"/>
      <c r="C22" s="86"/>
      <c r="I22" s="87"/>
      <c r="K22" s="15"/>
      <c r="L22" s="14"/>
      <c r="M22" s="86"/>
      <c r="N22" s="86"/>
      <c r="O22" s="86"/>
      <c r="S22" s="16"/>
      <c r="U22" s="70"/>
      <c r="V22" s="55"/>
      <c r="W22" s="55"/>
      <c r="X22" s="71"/>
    </row>
    <row r="23" spans="2:24" x14ac:dyDescent="0.3">
      <c r="B23" s="74" t="s">
        <v>65</v>
      </c>
      <c r="C23" s="61"/>
      <c r="I23" s="73"/>
      <c r="K23" s="70"/>
      <c r="L23" s="75" t="s">
        <v>30</v>
      </c>
      <c r="M23" s="61"/>
      <c r="N23" s="76"/>
      <c r="O23" s="76"/>
      <c r="S23" s="71"/>
      <c r="U23" s="70"/>
      <c r="X23" s="71"/>
    </row>
    <row r="24" spans="2:24" customFormat="1" ht="3.9" customHeight="1" x14ac:dyDescent="0.3">
      <c r="B24" s="85"/>
      <c r="C24" s="86"/>
      <c r="I24" s="87"/>
      <c r="K24" s="15"/>
      <c r="L24" s="14"/>
      <c r="M24" s="86"/>
      <c r="N24" s="86"/>
      <c r="O24" s="86"/>
      <c r="S24" s="16"/>
      <c r="U24" s="15"/>
      <c r="X24" s="16"/>
    </row>
    <row r="25" spans="2:24" x14ac:dyDescent="0.3">
      <c r="B25" s="74" t="s">
        <v>66</v>
      </c>
      <c r="C25" s="61"/>
      <c r="I25" s="73"/>
      <c r="K25" s="70"/>
      <c r="L25" s="75" t="s">
        <v>23</v>
      </c>
      <c r="M25" s="61"/>
      <c r="N25" s="76"/>
      <c r="O25" s="61"/>
      <c r="S25" s="71"/>
      <c r="U25" s="70"/>
      <c r="V25" s="75"/>
      <c r="W25" s="76"/>
      <c r="X25" s="71"/>
    </row>
    <row r="26" spans="2:24" customFormat="1" ht="3.9" customHeight="1" x14ac:dyDescent="0.3">
      <c r="B26" s="85"/>
      <c r="C26" s="86"/>
      <c r="I26" s="87"/>
      <c r="K26" s="15"/>
      <c r="L26" s="14"/>
      <c r="M26" s="86"/>
      <c r="N26" s="86"/>
      <c r="O26" s="86"/>
      <c r="S26" s="16"/>
      <c r="U26" s="15"/>
      <c r="V26" s="14"/>
      <c r="W26" s="86"/>
      <c r="X26" s="16"/>
    </row>
    <row r="27" spans="2:24" x14ac:dyDescent="0.3">
      <c r="B27" s="74" t="s">
        <v>67</v>
      </c>
      <c r="C27" s="61"/>
      <c r="I27" s="73"/>
      <c r="K27" s="70"/>
      <c r="L27" s="75" t="s">
        <v>25</v>
      </c>
      <c r="M27" s="61"/>
      <c r="N27" s="76"/>
      <c r="O27" s="61"/>
      <c r="S27" s="71"/>
      <c r="U27" s="70"/>
      <c r="V27" s="75"/>
      <c r="W27" s="76"/>
      <c r="X27" s="71"/>
    </row>
    <row r="28" spans="2:24" customFormat="1" ht="3.9" customHeight="1" x14ac:dyDescent="0.3">
      <c r="B28" s="85"/>
      <c r="C28" s="86"/>
      <c r="I28" s="87"/>
      <c r="K28" s="15"/>
      <c r="L28" s="14"/>
      <c r="M28" s="86"/>
      <c r="N28" s="86"/>
      <c r="O28" s="86"/>
      <c r="S28" s="16"/>
      <c r="U28" s="15"/>
      <c r="V28" s="14"/>
      <c r="W28" s="86"/>
      <c r="X28" s="16"/>
    </row>
    <row r="29" spans="2:24" x14ac:dyDescent="0.3">
      <c r="B29" s="74" t="s">
        <v>68</v>
      </c>
      <c r="C29" s="61"/>
      <c r="I29" s="73"/>
      <c r="K29" s="70"/>
      <c r="L29" s="75" t="s">
        <v>27</v>
      </c>
      <c r="M29" s="61"/>
      <c r="N29" s="76"/>
      <c r="O29" s="61"/>
      <c r="S29" s="71"/>
      <c r="U29" s="70"/>
      <c r="V29" s="75"/>
      <c r="W29" s="76"/>
      <c r="X29" s="71"/>
    </row>
    <row r="30" spans="2:24" customFormat="1" ht="3.9" customHeight="1" x14ac:dyDescent="0.3">
      <c r="B30" s="85"/>
      <c r="C30" s="86"/>
      <c r="I30" s="87"/>
      <c r="K30" s="15"/>
      <c r="L30" s="14"/>
      <c r="M30" s="86"/>
      <c r="N30" s="86"/>
      <c r="O30" s="86"/>
      <c r="S30" s="16"/>
      <c r="U30" s="15"/>
      <c r="V30" s="14"/>
      <c r="W30" s="86"/>
      <c r="X30" s="16"/>
    </row>
    <row r="31" spans="2:24" x14ac:dyDescent="0.3">
      <c r="B31" s="74" t="s">
        <v>69</v>
      </c>
      <c r="C31" s="61"/>
      <c r="I31" s="73"/>
      <c r="K31" s="70"/>
      <c r="L31" s="75" t="s">
        <v>29</v>
      </c>
      <c r="M31" s="61"/>
      <c r="N31" s="76"/>
      <c r="O31" s="61"/>
      <c r="S31" s="71"/>
      <c r="U31" s="70"/>
      <c r="X31" s="71"/>
    </row>
    <row r="32" spans="2:24" customFormat="1" ht="3.9" customHeight="1" x14ac:dyDescent="0.3">
      <c r="B32" s="88"/>
      <c r="C32" s="86"/>
      <c r="I32" s="87"/>
      <c r="K32" s="15"/>
      <c r="S32" s="16"/>
      <c r="U32" s="15"/>
      <c r="X32" s="16"/>
    </row>
    <row r="33" spans="2:24" x14ac:dyDescent="0.3">
      <c r="B33" s="74" t="s">
        <v>70</v>
      </c>
      <c r="C33" s="158">
        <f>SUM(C15,C17,C19,C21,C23,C25,C27,C29,C31,)</f>
        <v>0</v>
      </c>
      <c r="I33" s="73"/>
      <c r="K33" s="70"/>
      <c r="S33" s="71"/>
      <c r="U33" s="70"/>
      <c r="X33" s="71"/>
    </row>
    <row r="34" spans="2:24" x14ac:dyDescent="0.3">
      <c r="B34" s="74"/>
      <c r="C34" s="76"/>
      <c r="I34" s="73"/>
      <c r="K34" s="70"/>
      <c r="L34" s="75" t="s">
        <v>167</v>
      </c>
      <c r="M34" s="64" t="str">
        <f>IF(M23="","",M19/M23)</f>
        <v/>
      </c>
      <c r="N34" s="255" t="s">
        <v>168</v>
      </c>
      <c r="O34" s="256"/>
      <c r="P34" s="237" t="str">
        <f ca="1">IF('Dados do Aluno'!E8="Feminino",Apoio2!E53,Apoio2!F53)</f>
        <v/>
      </c>
      <c r="Q34" s="238"/>
      <c r="R34" s="239"/>
      <c r="S34" s="71"/>
      <c r="U34" s="70"/>
      <c r="X34" s="71"/>
    </row>
    <row r="35" spans="2:24" x14ac:dyDescent="0.3">
      <c r="B35" s="77"/>
      <c r="C35" s="78"/>
      <c r="D35" s="78"/>
      <c r="E35" s="78"/>
      <c r="F35" s="78"/>
      <c r="G35" s="78"/>
      <c r="H35" s="78"/>
      <c r="I35" s="79"/>
      <c r="K35" s="80"/>
      <c r="L35" s="81"/>
      <c r="M35" s="81"/>
      <c r="N35" s="81"/>
      <c r="O35" s="81"/>
      <c r="P35" s="81"/>
      <c r="Q35" s="81"/>
      <c r="R35" s="81"/>
      <c r="S35" s="82"/>
      <c r="U35" s="80"/>
      <c r="V35" s="81"/>
      <c r="W35" s="81"/>
      <c r="X35" s="82"/>
    </row>
    <row r="36" spans="2:24" ht="4.5" customHeight="1" x14ac:dyDescent="0.3"/>
    <row r="37" spans="2:24" ht="8.4" customHeight="1" x14ac:dyDescent="0.3"/>
    <row r="38" spans="2:24" ht="21.75" customHeight="1" thickBot="1" x14ac:dyDescent="0.35">
      <c r="B38" s="245" t="s">
        <v>156</v>
      </c>
      <c r="C38" s="245"/>
      <c r="D38" s="245"/>
      <c r="E38" s="56"/>
      <c r="F38" s="56"/>
      <c r="G38" s="56"/>
      <c r="H38" s="56"/>
      <c r="I38" s="56"/>
    </row>
    <row r="39" spans="2:24" ht="21.75" customHeight="1" thickTop="1" x14ac:dyDescent="0.3">
      <c r="B39" s="57"/>
      <c r="C39" s="58"/>
      <c r="D39" s="58"/>
      <c r="E39" s="58"/>
      <c r="F39" s="58"/>
      <c r="G39" s="58"/>
      <c r="H39" s="58"/>
      <c r="I39" s="59"/>
    </row>
    <row r="40" spans="2:24" x14ac:dyDescent="0.3">
      <c r="B40" s="244" t="s">
        <v>135</v>
      </c>
      <c r="C40" s="257"/>
      <c r="D40" s="246"/>
      <c r="E40" s="247"/>
      <c r="F40" s="247"/>
      <c r="G40" s="247"/>
      <c r="H40" s="248"/>
      <c r="I40" s="62"/>
    </row>
    <row r="41" spans="2:24" x14ac:dyDescent="0.3">
      <c r="B41" s="94"/>
      <c r="I41" s="62"/>
    </row>
    <row r="42" spans="2:24" x14ac:dyDescent="0.3">
      <c r="B42" s="60" t="s">
        <v>136</v>
      </c>
      <c r="C42" s="83" t="str">
        <f>IFERROR(IF(D40="","",IF('Dados do Aluno'!E8="Masculino",VLOOKUP('Composição Corporal4'!D40,Apoio2!$AD$12:$AE$14,2,0),IF('Dados do Aluno'!E8="Feminino",VLOOKUP(D40,Apoio2!$AG$12:$AH$14,2,0)))),"")</f>
        <v/>
      </c>
      <c r="E42" s="242" t="s">
        <v>140</v>
      </c>
      <c r="F42" s="242"/>
      <c r="G42" s="241"/>
      <c r="H42" s="84">
        <f>IF('Dados do Aluno'!E8="Masculino",'Composição Corporal4'!C6*0.241,'Composição Corporal4'!C6*0.209)</f>
        <v>0</v>
      </c>
      <c r="I42" s="62"/>
    </row>
    <row r="43" spans="2:24" customFormat="1" ht="3.75" customHeight="1" x14ac:dyDescent="0.3">
      <c r="B43" s="95"/>
      <c r="E43" s="85" t="s">
        <v>141</v>
      </c>
      <c r="F43" s="10"/>
      <c r="G43" s="10"/>
      <c r="I43" s="62"/>
    </row>
    <row r="44" spans="2:24" x14ac:dyDescent="0.3">
      <c r="B44" s="60" t="s">
        <v>137</v>
      </c>
      <c r="C44" s="84" t="str">
        <f>IFERROR(IF(C6="","",C6-C46),"")</f>
        <v/>
      </c>
      <c r="E44" s="242" t="s">
        <v>141</v>
      </c>
      <c r="F44" s="242"/>
      <c r="G44" s="241"/>
      <c r="H44" s="84">
        <f>3.02*(C8^2*(W19/100)*(W17/100)*400)^0.712</f>
        <v>0</v>
      </c>
      <c r="I44" s="96"/>
    </row>
    <row r="45" spans="2:24" customFormat="1" ht="3.75" customHeight="1" x14ac:dyDescent="0.3">
      <c r="B45" s="95"/>
      <c r="E45" s="85"/>
      <c r="F45" s="10"/>
      <c r="G45" s="10"/>
      <c r="I45" s="62"/>
    </row>
    <row r="46" spans="2:24" x14ac:dyDescent="0.3">
      <c r="B46" s="98" t="s">
        <v>138</v>
      </c>
      <c r="C46" s="84" t="str">
        <f>IFERROR(IF(C6=0,"",(C6-(C6*C42%))),"")</f>
        <v/>
      </c>
      <c r="D46" s="240" t="s">
        <v>142</v>
      </c>
      <c r="E46" s="242"/>
      <c r="F46" s="242"/>
      <c r="G46" s="241"/>
      <c r="H46" s="83" t="str">
        <f>IF(C42="","",IF('Dados do Aluno'!E8="Masculino",Apoio2!AE24,Apoio2!AE33))</f>
        <v/>
      </c>
      <c r="I46" s="96"/>
    </row>
    <row r="47" spans="2:24" customFormat="1" ht="3.75" customHeight="1" x14ac:dyDescent="0.3">
      <c r="B47" s="95"/>
      <c r="C47" s="14"/>
      <c r="E47" s="93"/>
      <c r="H47" s="97"/>
      <c r="I47" s="62"/>
    </row>
    <row r="48" spans="2:24" x14ac:dyDescent="0.3">
      <c r="B48" s="60" t="s">
        <v>139</v>
      </c>
      <c r="C48" s="84" t="str">
        <f>IFERROR(IF(C6="","",C6-(C44+H42+H44)),"")</f>
        <v/>
      </c>
      <c r="I48" s="96"/>
    </row>
    <row r="49" spans="2:9" x14ac:dyDescent="0.3">
      <c r="B49" s="65"/>
      <c r="C49" s="66"/>
      <c r="D49" s="66"/>
      <c r="E49" s="66"/>
      <c r="F49" s="66"/>
      <c r="G49" s="66"/>
      <c r="H49" s="66"/>
      <c r="I49" s="67"/>
    </row>
    <row r="52" spans="2:9" x14ac:dyDescent="0.3">
      <c r="B52" s="91" t="str">
        <f>B44</f>
        <v>Massa gorda</v>
      </c>
      <c r="C52" s="92" t="str">
        <f>C44</f>
        <v/>
      </c>
    </row>
    <row r="53" spans="2:9" x14ac:dyDescent="0.3">
      <c r="B53" s="91" t="str">
        <f>B46</f>
        <v>Massa livre de gordura</v>
      </c>
      <c r="C53" s="92" t="str">
        <f>C46</f>
        <v/>
      </c>
    </row>
    <row r="54" spans="2:9" x14ac:dyDescent="0.3">
      <c r="B54" s="91" t="str">
        <f>B48</f>
        <v>Massa muscular</v>
      </c>
      <c r="C54" s="92" t="str">
        <f>C48</f>
        <v/>
      </c>
    </row>
    <row r="55" spans="2:9" x14ac:dyDescent="0.3">
      <c r="B55" s="91" t="str">
        <f>E42</f>
        <v>Massa residual</v>
      </c>
      <c r="C55" s="92">
        <f>H42</f>
        <v>0</v>
      </c>
    </row>
    <row r="56" spans="2:9" x14ac:dyDescent="0.3">
      <c r="B56" s="91" t="str">
        <f>E44</f>
        <v>Massa Óssea</v>
      </c>
      <c r="C56" s="92">
        <f>H44</f>
        <v>0</v>
      </c>
    </row>
  </sheetData>
  <sheetProtection selectLockedCells="1"/>
  <mergeCells count="18">
    <mergeCell ref="C2:D2"/>
    <mergeCell ref="E2:X2"/>
    <mergeCell ref="B4:D4"/>
    <mergeCell ref="B11:D11"/>
    <mergeCell ref="K11:O11"/>
    <mergeCell ref="U11:W11"/>
    <mergeCell ref="L6:W8"/>
    <mergeCell ref="G6:I8"/>
    <mergeCell ref="E6:F8"/>
    <mergeCell ref="N34:O34"/>
    <mergeCell ref="P34:R34"/>
    <mergeCell ref="D46:G46"/>
    <mergeCell ref="C12:E12"/>
    <mergeCell ref="B40:C40"/>
    <mergeCell ref="E42:G42"/>
    <mergeCell ref="E44:G44"/>
    <mergeCell ref="B38:D38"/>
    <mergeCell ref="D40:H40"/>
  </mergeCells>
  <dataValidations count="1">
    <dataValidation type="list" allowBlank="1" showInputMessage="1" showErrorMessage="1" sqref="D40" xr:uid="{00000000-0002-0000-1500-000000000000}">
      <formula1>protocolos</formula1>
    </dataValidation>
  </dataValidations>
  <pageMargins left="0.25" right="0.25" top="0.75" bottom="0.75" header="0.3" footer="0.3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X56"/>
  <sheetViews>
    <sheetView showGridLines="0" zoomScale="90" zoomScaleNormal="90" workbookViewId="0">
      <selection activeCell="C2" sqref="C2:D2"/>
    </sheetView>
  </sheetViews>
  <sheetFormatPr defaultColWidth="9.109375" defaultRowHeight="14.4" x14ac:dyDescent="0.3"/>
  <cols>
    <col min="1" max="1" width="3.33203125" style="55" customWidth="1"/>
    <col min="2" max="2" width="20.44140625" style="55" customWidth="1"/>
    <col min="3" max="3" width="10" style="55" customWidth="1"/>
    <col min="4" max="4" width="9.109375" style="55"/>
    <col min="5" max="5" width="10.5546875" style="55" customWidth="1"/>
    <col min="6" max="6" width="9.109375" style="55"/>
    <col min="7" max="7" width="9.5546875" style="55" bestFit="1" customWidth="1"/>
    <col min="8" max="8" width="15.109375" style="55" customWidth="1"/>
    <col min="9" max="9" width="5.77734375" style="55" customWidth="1"/>
    <col min="10" max="10" width="1.6640625" style="55" customWidth="1"/>
    <col min="11" max="11" width="2.33203125" style="55" customWidth="1"/>
    <col min="12" max="12" width="12.33203125" style="55" customWidth="1"/>
    <col min="13" max="13" width="9" style="55" customWidth="1"/>
    <col min="14" max="14" width="1.5546875" style="55" customWidth="1"/>
    <col min="15" max="15" width="9" style="55" customWidth="1"/>
    <col min="16" max="18" width="9.109375" style="55"/>
    <col min="19" max="19" width="1.5546875" style="55" customWidth="1"/>
    <col min="20" max="20" width="1.33203125" style="55" customWidth="1"/>
    <col min="21" max="21" width="2.6640625" style="55" customWidth="1"/>
    <col min="22" max="22" width="21.44140625" style="55" customWidth="1"/>
    <col min="23" max="23" width="9.109375" style="55"/>
    <col min="24" max="24" width="2.109375" style="55" customWidth="1"/>
    <col min="25" max="16384" width="9.109375" style="55"/>
  </cols>
  <sheetData>
    <row r="1" spans="2:24" ht="57" customHeight="1" x14ac:dyDescent="0.3"/>
    <row r="2" spans="2:24" ht="25.8" x14ac:dyDescent="0.3">
      <c r="B2" s="152" t="s">
        <v>223</v>
      </c>
      <c r="C2" s="251"/>
      <c r="D2" s="251"/>
      <c r="E2" s="250" t="s">
        <v>220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4" spans="2:24" ht="18.600000000000001" thickBot="1" x14ac:dyDescent="0.4">
      <c r="B4" s="249" t="s">
        <v>222</v>
      </c>
      <c r="C4" s="249"/>
      <c r="D4" s="249"/>
      <c r="E4" s="56"/>
      <c r="F4" s="56"/>
      <c r="G4" s="56"/>
      <c r="H4" s="56"/>
      <c r="I4" s="56"/>
      <c r="J4" s="56"/>
      <c r="K4" s="56"/>
      <c r="L4" s="56"/>
      <c r="M4" s="56"/>
      <c r="Q4" s="56"/>
      <c r="R4" s="56"/>
      <c r="S4" s="56"/>
      <c r="T4" s="56"/>
      <c r="U4" s="56"/>
      <c r="V4" s="56"/>
      <c r="W4" s="56"/>
      <c r="X4" s="56"/>
    </row>
    <row r="5" spans="2:24" ht="15" thickTop="1" x14ac:dyDescent="0.3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9"/>
    </row>
    <row r="6" spans="2:24" x14ac:dyDescent="0.3">
      <c r="B6" s="60" t="s">
        <v>59</v>
      </c>
      <c r="C6" s="61"/>
      <c r="E6" s="254" t="s">
        <v>227</v>
      </c>
      <c r="F6" s="254"/>
      <c r="G6" s="253" t="str">
        <f>IFERROR(C6/(C8*C8),"")</f>
        <v/>
      </c>
      <c r="H6" s="253"/>
      <c r="I6" s="253"/>
      <c r="L6" s="252" t="str">
        <f>IF(G6="","",IF(G6&lt;17,"Muito Abaixo do Peso",IF(AND(G6&gt;17,G6&lt;18.49),"Abaixo do Peso",IF(AND(G6&gt;18.5,G6&lt;24.99),"Peso Normal",IF(AND(G6&gt;25,G6&lt;29.99),"Sobrepeso",IF(AND(G6&gt;30,G6&lt;34.99),"Obesidade Grau 1",IF(AND(G6&gt;35,G6&lt;39.99),"Obesidade Grau 2",IF(G6&gt;40,"Obesidade Grau 3"))))))))</f>
        <v/>
      </c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62"/>
    </row>
    <row r="7" spans="2:24" x14ac:dyDescent="0.3">
      <c r="B7" s="60"/>
      <c r="C7" s="63"/>
      <c r="E7" s="254"/>
      <c r="F7" s="254"/>
      <c r="G7" s="253"/>
      <c r="H7" s="253"/>
      <c r="I7" s="253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62"/>
    </row>
    <row r="8" spans="2:24" x14ac:dyDescent="0.3">
      <c r="B8" s="60" t="s">
        <v>58</v>
      </c>
      <c r="C8" s="64"/>
      <c r="E8" s="254"/>
      <c r="F8" s="254"/>
      <c r="G8" s="253"/>
      <c r="H8" s="253"/>
      <c r="I8" s="253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62"/>
    </row>
    <row r="9" spans="2:24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7"/>
    </row>
    <row r="11" spans="2:24" ht="18.600000000000001" thickBot="1" x14ac:dyDescent="0.35">
      <c r="B11" s="245" t="s">
        <v>231</v>
      </c>
      <c r="C11" s="245"/>
      <c r="D11" s="245"/>
      <c r="E11" s="56"/>
      <c r="F11" s="56"/>
      <c r="G11" s="56"/>
      <c r="H11" s="56"/>
      <c r="I11" s="56"/>
      <c r="K11" s="245" t="s">
        <v>230</v>
      </c>
      <c r="L11" s="245"/>
      <c r="M11" s="245"/>
      <c r="N11" s="245"/>
      <c r="O11" s="245"/>
      <c r="P11" s="56"/>
      <c r="Q11" s="56"/>
      <c r="R11" s="56"/>
      <c r="S11" s="56"/>
      <c r="U11" s="245" t="s">
        <v>229</v>
      </c>
      <c r="V11" s="245"/>
      <c r="W11" s="245"/>
      <c r="X11" s="56"/>
    </row>
    <row r="12" spans="2:24" ht="15" thickTop="1" x14ac:dyDescent="0.3">
      <c r="B12" s="68"/>
      <c r="C12" s="243"/>
      <c r="D12" s="243"/>
      <c r="E12" s="243"/>
      <c r="F12" s="58"/>
      <c r="G12" s="58"/>
      <c r="H12" s="58"/>
      <c r="I12" s="69"/>
      <c r="K12" s="70"/>
      <c r="S12" s="71"/>
      <c r="U12" s="89"/>
      <c r="V12" s="58"/>
      <c r="W12" s="58"/>
      <c r="X12" s="90"/>
    </row>
    <row r="13" spans="2:24" x14ac:dyDescent="0.3">
      <c r="B13" s="72"/>
      <c r="I13" s="73"/>
      <c r="K13" s="70"/>
      <c r="M13" s="134" t="s">
        <v>165</v>
      </c>
      <c r="O13" s="134" t="s">
        <v>166</v>
      </c>
      <c r="S13" s="71"/>
      <c r="U13" s="70"/>
      <c r="X13" s="71"/>
    </row>
    <row r="14" spans="2:24" ht="5.0999999999999996" customHeight="1" x14ac:dyDescent="0.3">
      <c r="B14" s="72"/>
      <c r="I14" s="73"/>
      <c r="K14" s="70"/>
      <c r="S14" s="71"/>
      <c r="U14" s="70"/>
      <c r="X14" s="71"/>
    </row>
    <row r="15" spans="2:24" x14ac:dyDescent="0.3">
      <c r="B15" s="74" t="s">
        <v>61</v>
      </c>
      <c r="C15" s="61"/>
      <c r="I15" s="73"/>
      <c r="K15" s="70"/>
      <c r="L15" s="75" t="s">
        <v>22</v>
      </c>
      <c r="M15" s="61"/>
      <c r="N15" s="76"/>
      <c r="O15" s="76"/>
      <c r="S15" s="71"/>
      <c r="U15" s="70"/>
      <c r="V15" s="55" t="s">
        <v>224</v>
      </c>
      <c r="W15" s="61"/>
      <c r="X15" s="71"/>
    </row>
    <row r="16" spans="2:24" customFormat="1" ht="3.9" customHeight="1" x14ac:dyDescent="0.3">
      <c r="B16" s="85"/>
      <c r="C16" s="86"/>
      <c r="I16" s="87"/>
      <c r="K16" s="15"/>
      <c r="L16" s="14"/>
      <c r="M16" s="86"/>
      <c r="N16" s="86"/>
      <c r="O16" s="86"/>
      <c r="S16" s="16"/>
      <c r="U16" s="70"/>
      <c r="V16" s="55"/>
      <c r="W16" s="86"/>
      <c r="X16" s="16"/>
    </row>
    <row r="17" spans="2:24" x14ac:dyDescent="0.3">
      <c r="B17" s="74" t="s">
        <v>62</v>
      </c>
      <c r="C17" s="61"/>
      <c r="I17" s="73"/>
      <c r="K17" s="70"/>
      <c r="L17" s="75" t="s">
        <v>24</v>
      </c>
      <c r="M17" s="61"/>
      <c r="N17" s="76"/>
      <c r="O17" s="76"/>
      <c r="S17" s="71"/>
      <c r="U17" s="70"/>
      <c r="V17" s="55" t="s">
        <v>225</v>
      </c>
      <c r="W17" s="61"/>
      <c r="X17" s="71"/>
    </row>
    <row r="18" spans="2:24" customFormat="1" ht="3.9" customHeight="1" x14ac:dyDescent="0.3">
      <c r="B18" s="85"/>
      <c r="C18" s="86"/>
      <c r="I18" s="87"/>
      <c r="K18" s="15"/>
      <c r="L18" s="14"/>
      <c r="M18" s="86"/>
      <c r="N18" s="86"/>
      <c r="O18" s="86"/>
      <c r="S18" s="16"/>
      <c r="U18" s="70"/>
      <c r="V18" s="55"/>
      <c r="W18" s="86"/>
      <c r="X18" s="16"/>
    </row>
    <row r="19" spans="2:24" x14ac:dyDescent="0.3">
      <c r="B19" s="74" t="s">
        <v>63</v>
      </c>
      <c r="C19" s="61"/>
      <c r="I19" s="73"/>
      <c r="K19" s="70"/>
      <c r="L19" s="75" t="s">
        <v>26</v>
      </c>
      <c r="M19" s="61"/>
      <c r="N19" s="76"/>
      <c r="O19" s="76"/>
      <c r="S19" s="71"/>
      <c r="U19" s="70"/>
      <c r="V19" s="55" t="s">
        <v>226</v>
      </c>
      <c r="W19" s="61"/>
      <c r="X19" s="71"/>
    </row>
    <row r="20" spans="2:24" customFormat="1" ht="3.9" customHeight="1" x14ac:dyDescent="0.3">
      <c r="B20" s="85"/>
      <c r="C20" s="86"/>
      <c r="I20" s="87"/>
      <c r="K20" s="15"/>
      <c r="L20" s="14"/>
      <c r="M20" s="86"/>
      <c r="N20" s="86"/>
      <c r="O20" s="86"/>
      <c r="S20" s="16"/>
      <c r="U20" s="70"/>
      <c r="V20" s="55"/>
      <c r="W20" s="86"/>
      <c r="X20" s="16"/>
    </row>
    <row r="21" spans="2:24" x14ac:dyDescent="0.3">
      <c r="B21" s="74" t="s">
        <v>64</v>
      </c>
      <c r="C21" s="61"/>
      <c r="I21" s="73"/>
      <c r="K21" s="70"/>
      <c r="L21" s="75" t="s">
        <v>28</v>
      </c>
      <c r="M21" s="61"/>
      <c r="N21" s="76"/>
      <c r="O21" s="76"/>
      <c r="S21" s="71"/>
      <c r="U21" s="70"/>
      <c r="X21" s="71"/>
    </row>
    <row r="22" spans="2:24" customFormat="1" ht="3.9" customHeight="1" x14ac:dyDescent="0.3">
      <c r="B22" s="85"/>
      <c r="C22" s="86"/>
      <c r="I22" s="87"/>
      <c r="K22" s="15"/>
      <c r="L22" s="14"/>
      <c r="M22" s="86"/>
      <c r="N22" s="86"/>
      <c r="O22" s="86"/>
      <c r="S22" s="16"/>
      <c r="U22" s="70"/>
      <c r="V22" s="55"/>
      <c r="W22" s="55"/>
      <c r="X22" s="71"/>
    </row>
    <row r="23" spans="2:24" x14ac:dyDescent="0.3">
      <c r="B23" s="74" t="s">
        <v>65</v>
      </c>
      <c r="C23" s="61"/>
      <c r="I23" s="73"/>
      <c r="K23" s="70"/>
      <c r="L23" s="75" t="s">
        <v>30</v>
      </c>
      <c r="M23" s="61"/>
      <c r="N23" s="76"/>
      <c r="O23" s="76"/>
      <c r="S23" s="71"/>
      <c r="U23" s="70"/>
      <c r="X23" s="71"/>
    </row>
    <row r="24" spans="2:24" customFormat="1" ht="3.9" customHeight="1" x14ac:dyDescent="0.3">
      <c r="B24" s="85"/>
      <c r="C24" s="86"/>
      <c r="I24" s="87"/>
      <c r="K24" s="15"/>
      <c r="L24" s="14"/>
      <c r="M24" s="86"/>
      <c r="N24" s="86"/>
      <c r="O24" s="86"/>
      <c r="S24" s="16"/>
      <c r="U24" s="15"/>
      <c r="X24" s="16"/>
    </row>
    <row r="25" spans="2:24" x14ac:dyDescent="0.3">
      <c r="B25" s="74" t="s">
        <v>66</v>
      </c>
      <c r="C25" s="61"/>
      <c r="I25" s="73"/>
      <c r="K25" s="70"/>
      <c r="L25" s="75" t="s">
        <v>23</v>
      </c>
      <c r="M25" s="61"/>
      <c r="N25" s="76"/>
      <c r="O25" s="61"/>
      <c r="S25" s="71"/>
      <c r="U25" s="70"/>
      <c r="V25" s="75"/>
      <c r="W25" s="76"/>
      <c r="X25" s="71"/>
    </row>
    <row r="26" spans="2:24" customFormat="1" ht="3.9" customHeight="1" x14ac:dyDescent="0.3">
      <c r="B26" s="85"/>
      <c r="C26" s="86"/>
      <c r="I26" s="87"/>
      <c r="K26" s="15"/>
      <c r="L26" s="14"/>
      <c r="M26" s="86"/>
      <c r="N26" s="86"/>
      <c r="O26" s="86"/>
      <c r="S26" s="16"/>
      <c r="U26" s="15"/>
      <c r="V26" s="14"/>
      <c r="W26" s="86"/>
      <c r="X26" s="16"/>
    </row>
    <row r="27" spans="2:24" x14ac:dyDescent="0.3">
      <c r="B27" s="74" t="s">
        <v>67</v>
      </c>
      <c r="C27" s="61"/>
      <c r="I27" s="73"/>
      <c r="K27" s="70"/>
      <c r="L27" s="75" t="s">
        <v>25</v>
      </c>
      <c r="M27" s="61"/>
      <c r="N27" s="76"/>
      <c r="O27" s="61"/>
      <c r="S27" s="71"/>
      <c r="U27" s="70"/>
      <c r="V27" s="75"/>
      <c r="W27" s="76"/>
      <c r="X27" s="71"/>
    </row>
    <row r="28" spans="2:24" customFormat="1" ht="3.9" customHeight="1" x14ac:dyDescent="0.3">
      <c r="B28" s="85"/>
      <c r="C28" s="86"/>
      <c r="I28" s="87"/>
      <c r="K28" s="15"/>
      <c r="L28" s="14"/>
      <c r="M28" s="86"/>
      <c r="N28" s="86"/>
      <c r="O28" s="86"/>
      <c r="S28" s="16"/>
      <c r="U28" s="15"/>
      <c r="V28" s="14"/>
      <c r="W28" s="86"/>
      <c r="X28" s="16"/>
    </row>
    <row r="29" spans="2:24" x14ac:dyDescent="0.3">
      <c r="B29" s="74" t="s">
        <v>68</v>
      </c>
      <c r="C29" s="61"/>
      <c r="I29" s="73"/>
      <c r="K29" s="70"/>
      <c r="L29" s="75" t="s">
        <v>27</v>
      </c>
      <c r="M29" s="61"/>
      <c r="N29" s="76"/>
      <c r="O29" s="61"/>
      <c r="S29" s="71"/>
      <c r="U29" s="70"/>
      <c r="V29" s="75"/>
      <c r="W29" s="76"/>
      <c r="X29" s="71"/>
    </row>
    <row r="30" spans="2:24" customFormat="1" ht="3.9" customHeight="1" x14ac:dyDescent="0.3">
      <c r="B30" s="85"/>
      <c r="C30" s="86"/>
      <c r="I30" s="87"/>
      <c r="K30" s="15"/>
      <c r="L30" s="14"/>
      <c r="M30" s="86"/>
      <c r="N30" s="86"/>
      <c r="O30" s="86"/>
      <c r="S30" s="16"/>
      <c r="U30" s="15"/>
      <c r="V30" s="14"/>
      <c r="W30" s="86"/>
      <c r="X30" s="16"/>
    </row>
    <row r="31" spans="2:24" x14ac:dyDescent="0.3">
      <c r="B31" s="74" t="s">
        <v>69</v>
      </c>
      <c r="C31" s="61"/>
      <c r="I31" s="73"/>
      <c r="K31" s="70"/>
      <c r="L31" s="75" t="s">
        <v>29</v>
      </c>
      <c r="M31" s="61"/>
      <c r="N31" s="76"/>
      <c r="O31" s="61"/>
      <c r="S31" s="71"/>
      <c r="U31" s="70"/>
      <c r="X31" s="71"/>
    </row>
    <row r="32" spans="2:24" customFormat="1" ht="3.9" customHeight="1" x14ac:dyDescent="0.3">
      <c r="B32" s="88"/>
      <c r="C32" s="86"/>
      <c r="I32" s="87"/>
      <c r="K32" s="15"/>
      <c r="S32" s="16"/>
      <c r="U32" s="15"/>
      <c r="X32" s="16"/>
    </row>
    <row r="33" spans="2:24" x14ac:dyDescent="0.3">
      <c r="B33" s="74" t="s">
        <v>70</v>
      </c>
      <c r="C33" s="158">
        <f>SUM(C15,C17,C19,C21,C23,C25,C27,C29,C31)</f>
        <v>0</v>
      </c>
      <c r="I33" s="73"/>
      <c r="K33" s="70"/>
      <c r="S33" s="71"/>
      <c r="U33" s="70"/>
      <c r="X33" s="71"/>
    </row>
    <row r="34" spans="2:24" x14ac:dyDescent="0.3">
      <c r="B34" s="74"/>
      <c r="C34" s="76"/>
      <c r="I34" s="73"/>
      <c r="K34" s="70"/>
      <c r="L34" s="75" t="s">
        <v>167</v>
      </c>
      <c r="M34" s="64" t="str">
        <f>IF(M23="","",M19/M23)</f>
        <v/>
      </c>
      <c r="N34" s="255" t="s">
        <v>168</v>
      </c>
      <c r="O34" s="256"/>
      <c r="P34" s="237" t="str">
        <f ca="1">IF('Dados do Aluno'!E8="Feminino",Apoio2!E54,Apoio2!F54)</f>
        <v/>
      </c>
      <c r="Q34" s="238"/>
      <c r="R34" s="239"/>
      <c r="S34" s="71"/>
      <c r="U34" s="70"/>
      <c r="X34" s="71"/>
    </row>
    <row r="35" spans="2:24" x14ac:dyDescent="0.3">
      <c r="B35" s="77"/>
      <c r="C35" s="78"/>
      <c r="D35" s="78"/>
      <c r="E35" s="78"/>
      <c r="F35" s="78"/>
      <c r="G35" s="78"/>
      <c r="H35" s="78"/>
      <c r="I35" s="79"/>
      <c r="K35" s="80"/>
      <c r="L35" s="81"/>
      <c r="M35" s="81"/>
      <c r="N35" s="81"/>
      <c r="O35" s="81"/>
      <c r="P35" s="81"/>
      <c r="Q35" s="81"/>
      <c r="R35" s="81"/>
      <c r="S35" s="82"/>
      <c r="U35" s="80"/>
      <c r="V35" s="81"/>
      <c r="W35" s="81"/>
      <c r="X35" s="82"/>
    </row>
    <row r="36" spans="2:24" ht="4.5" customHeight="1" x14ac:dyDescent="0.3"/>
    <row r="37" spans="2:24" ht="8.4" customHeight="1" x14ac:dyDescent="0.3"/>
    <row r="38" spans="2:24" ht="21.75" customHeight="1" thickBot="1" x14ac:dyDescent="0.35">
      <c r="B38" s="245" t="s">
        <v>156</v>
      </c>
      <c r="C38" s="245"/>
      <c r="D38" s="245"/>
      <c r="E38" s="56"/>
      <c r="F38" s="56"/>
      <c r="G38" s="56"/>
      <c r="H38" s="56"/>
      <c r="I38" s="56"/>
    </row>
    <row r="39" spans="2:24" ht="21.75" customHeight="1" thickTop="1" x14ac:dyDescent="0.3">
      <c r="B39" s="57"/>
      <c r="C39" s="58"/>
      <c r="D39" s="58"/>
      <c r="E39" s="58"/>
      <c r="F39" s="58"/>
      <c r="G39" s="58"/>
      <c r="H39" s="58"/>
      <c r="I39" s="59"/>
    </row>
    <row r="40" spans="2:24" x14ac:dyDescent="0.3">
      <c r="B40" s="244" t="s">
        <v>135</v>
      </c>
      <c r="C40" s="257"/>
      <c r="D40" s="246"/>
      <c r="E40" s="247"/>
      <c r="F40" s="247"/>
      <c r="G40" s="247"/>
      <c r="H40" s="248"/>
      <c r="I40" s="62"/>
    </row>
    <row r="41" spans="2:24" x14ac:dyDescent="0.3">
      <c r="B41" s="94"/>
      <c r="I41" s="62"/>
    </row>
    <row r="42" spans="2:24" x14ac:dyDescent="0.3">
      <c r="B42" s="60" t="s">
        <v>136</v>
      </c>
      <c r="C42" s="83" t="str">
        <f>IFERROR(IF(D40="","",IF('Dados do Aluno'!E8="Masculino",VLOOKUP('Composição Corporal5'!D40,Apoio2!$AM$12:$AN$14,2,0),IF('Dados do Aluno'!E8="Feminino",VLOOKUP(D40,Apoio2!$AP$12:$AQ$14,2,0)))),"")</f>
        <v/>
      </c>
      <c r="E42" s="242" t="s">
        <v>140</v>
      </c>
      <c r="F42" s="242"/>
      <c r="G42" s="241"/>
      <c r="H42" s="84">
        <f>IF('Dados do Aluno'!E8="Masculino",'Composição Corporal5'!C6*0.241,'Composição Corporal5'!C6*0.209)</f>
        <v>0</v>
      </c>
      <c r="I42" s="62"/>
    </row>
    <row r="43" spans="2:24" customFormat="1" ht="3.75" customHeight="1" x14ac:dyDescent="0.3">
      <c r="B43" s="95"/>
      <c r="E43" s="85" t="s">
        <v>141</v>
      </c>
      <c r="F43" s="10"/>
      <c r="G43" s="10"/>
      <c r="I43" s="62"/>
    </row>
    <row r="44" spans="2:24" x14ac:dyDescent="0.3">
      <c r="B44" s="60" t="s">
        <v>137</v>
      </c>
      <c r="C44" s="84" t="str">
        <f>IFERROR(IF(C6="","",C6-C46),"")</f>
        <v/>
      </c>
      <c r="E44" s="242" t="s">
        <v>141</v>
      </c>
      <c r="F44" s="242"/>
      <c r="G44" s="241"/>
      <c r="H44" s="84">
        <f>3.02*(C8^2*(W19/100)*(W17/100)*400)^0.712</f>
        <v>0</v>
      </c>
      <c r="I44" s="96"/>
    </row>
    <row r="45" spans="2:24" customFormat="1" ht="3.75" customHeight="1" x14ac:dyDescent="0.3">
      <c r="B45" s="95"/>
      <c r="E45" s="85"/>
      <c r="F45" s="10"/>
      <c r="G45" s="10"/>
      <c r="I45" s="62"/>
    </row>
    <row r="46" spans="2:24" x14ac:dyDescent="0.3">
      <c r="B46" s="98" t="s">
        <v>138</v>
      </c>
      <c r="C46" s="84" t="str">
        <f>IFERROR(IF(C6=0,"",(C6-(C6*C42%))),"")</f>
        <v/>
      </c>
      <c r="D46" s="240" t="s">
        <v>142</v>
      </c>
      <c r="E46" s="242"/>
      <c r="F46" s="242"/>
      <c r="G46" s="241"/>
      <c r="H46" s="83" t="str">
        <f>IF(C42="","",IF('Dados do Aluno'!E8="Masculino",Apoio2!AN24,Apoio2!AN33))</f>
        <v/>
      </c>
      <c r="I46" s="96"/>
    </row>
    <row r="47" spans="2:24" customFormat="1" ht="3.75" customHeight="1" x14ac:dyDescent="0.3">
      <c r="B47" s="95"/>
      <c r="C47" s="14"/>
      <c r="E47" s="93"/>
      <c r="H47" s="97"/>
      <c r="I47" s="62"/>
    </row>
    <row r="48" spans="2:24" x14ac:dyDescent="0.3">
      <c r="B48" s="60" t="s">
        <v>139</v>
      </c>
      <c r="C48" s="84" t="str">
        <f>IFERROR(IF(C6="","",C6-(C44+H42+H44)),"")</f>
        <v/>
      </c>
      <c r="I48" s="96"/>
    </row>
    <row r="49" spans="2:9" x14ac:dyDescent="0.3">
      <c r="B49" s="65"/>
      <c r="C49" s="66"/>
      <c r="D49" s="66"/>
      <c r="E49" s="66"/>
      <c r="F49" s="66"/>
      <c r="G49" s="66"/>
      <c r="H49" s="66"/>
      <c r="I49" s="67"/>
    </row>
    <row r="52" spans="2:9" x14ac:dyDescent="0.3">
      <c r="B52" s="91" t="str">
        <f>B44</f>
        <v>Massa gorda</v>
      </c>
      <c r="C52" s="92" t="str">
        <f>C44</f>
        <v/>
      </c>
    </row>
    <row r="53" spans="2:9" x14ac:dyDescent="0.3">
      <c r="B53" s="91" t="str">
        <f>B46</f>
        <v>Massa livre de gordura</v>
      </c>
      <c r="C53" s="92" t="str">
        <f>C46</f>
        <v/>
      </c>
    </row>
    <row r="54" spans="2:9" x14ac:dyDescent="0.3">
      <c r="B54" s="91" t="str">
        <f>B48</f>
        <v>Massa muscular</v>
      </c>
      <c r="C54" s="92" t="str">
        <f>C48</f>
        <v/>
      </c>
    </row>
    <row r="55" spans="2:9" x14ac:dyDescent="0.3">
      <c r="B55" s="91" t="str">
        <f>E42</f>
        <v>Massa residual</v>
      </c>
      <c r="C55" s="92">
        <f>H42</f>
        <v>0</v>
      </c>
    </row>
    <row r="56" spans="2:9" x14ac:dyDescent="0.3">
      <c r="B56" s="91" t="str">
        <f>E44</f>
        <v>Massa Óssea</v>
      </c>
      <c r="C56" s="92">
        <f>H44</f>
        <v>0</v>
      </c>
    </row>
  </sheetData>
  <sheetProtection selectLockedCells="1"/>
  <mergeCells count="18">
    <mergeCell ref="C2:D2"/>
    <mergeCell ref="E2:X2"/>
    <mergeCell ref="B4:D4"/>
    <mergeCell ref="B11:D11"/>
    <mergeCell ref="K11:O11"/>
    <mergeCell ref="U11:W11"/>
    <mergeCell ref="L6:W8"/>
    <mergeCell ref="G6:I8"/>
    <mergeCell ref="E6:F8"/>
    <mergeCell ref="N34:O34"/>
    <mergeCell ref="P34:R34"/>
    <mergeCell ref="D46:G46"/>
    <mergeCell ref="C12:E12"/>
    <mergeCell ref="B40:C40"/>
    <mergeCell ref="E42:G42"/>
    <mergeCell ref="E44:G44"/>
    <mergeCell ref="B38:D38"/>
    <mergeCell ref="D40:H40"/>
  </mergeCells>
  <dataValidations count="1">
    <dataValidation type="list" allowBlank="1" showInputMessage="1" showErrorMessage="1" sqref="D40" xr:uid="{00000000-0002-0000-1600-000000000000}">
      <formula1>protocolos</formula1>
    </dataValidation>
  </dataValidations>
  <pageMargins left="0.25" right="0.25" top="0.75" bottom="0.75" header="0.3" footer="0.3"/>
  <pageSetup paperSize="9" scale="7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X56"/>
  <sheetViews>
    <sheetView showGridLines="0" zoomScale="90" zoomScaleNormal="90" workbookViewId="0">
      <selection activeCell="C2" sqref="C2:D2"/>
    </sheetView>
  </sheetViews>
  <sheetFormatPr defaultColWidth="9.109375" defaultRowHeight="14.4" x14ac:dyDescent="0.3"/>
  <cols>
    <col min="1" max="1" width="3.33203125" style="55" customWidth="1"/>
    <col min="2" max="2" width="20.44140625" style="55" customWidth="1"/>
    <col min="3" max="3" width="10" style="55" customWidth="1"/>
    <col min="4" max="4" width="9.109375" style="55"/>
    <col min="5" max="5" width="10.5546875" style="55" customWidth="1"/>
    <col min="6" max="6" width="9.109375" style="55"/>
    <col min="7" max="7" width="9.5546875" style="55" bestFit="1" customWidth="1"/>
    <col min="8" max="8" width="15.109375" style="55" bestFit="1" customWidth="1"/>
    <col min="9" max="9" width="5.77734375" style="55" customWidth="1"/>
    <col min="10" max="10" width="1.6640625" style="55" customWidth="1"/>
    <col min="11" max="11" width="2.33203125" style="55" customWidth="1"/>
    <col min="12" max="12" width="12.33203125" style="55" customWidth="1"/>
    <col min="13" max="13" width="9" style="55" customWidth="1"/>
    <col min="14" max="14" width="1.6640625" style="55" customWidth="1"/>
    <col min="15" max="15" width="9" style="55" customWidth="1"/>
    <col min="16" max="18" width="9.109375" style="55"/>
    <col min="19" max="19" width="1.5546875" style="55" customWidth="1"/>
    <col min="20" max="20" width="1.33203125" style="55" customWidth="1"/>
    <col min="21" max="21" width="2.6640625" style="55" customWidth="1"/>
    <col min="22" max="22" width="21.44140625" style="55" customWidth="1"/>
    <col min="23" max="23" width="9.109375" style="55"/>
    <col min="24" max="24" width="2.109375" style="55" customWidth="1"/>
    <col min="25" max="16384" width="9.109375" style="55"/>
  </cols>
  <sheetData>
    <row r="1" spans="2:24" ht="57" customHeight="1" x14ac:dyDescent="0.3"/>
    <row r="2" spans="2:24" ht="25.8" x14ac:dyDescent="0.3">
      <c r="B2" s="152" t="s">
        <v>223</v>
      </c>
      <c r="C2" s="251"/>
      <c r="D2" s="251"/>
      <c r="E2" s="250" t="s">
        <v>221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4" spans="2:24" ht="18.600000000000001" thickBot="1" x14ac:dyDescent="0.4">
      <c r="B4" s="249" t="s">
        <v>222</v>
      </c>
      <c r="C4" s="249"/>
      <c r="D4" s="249"/>
      <c r="E4" s="56"/>
      <c r="F4" s="56"/>
      <c r="G4" s="56"/>
      <c r="H4" s="56"/>
      <c r="I4" s="56"/>
      <c r="J4" s="56"/>
      <c r="K4" s="56"/>
      <c r="L4" s="56"/>
      <c r="M4" s="56"/>
      <c r="Q4" s="56"/>
      <c r="R4" s="56"/>
      <c r="S4" s="56"/>
      <c r="T4" s="56"/>
      <c r="U4" s="56"/>
      <c r="V4" s="56"/>
      <c r="W4" s="56"/>
      <c r="X4" s="56"/>
    </row>
    <row r="5" spans="2:24" ht="15" thickTop="1" x14ac:dyDescent="0.3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X5" s="59"/>
    </row>
    <row r="6" spans="2:24" ht="14.4" customHeight="1" x14ac:dyDescent="0.3">
      <c r="B6" s="60" t="s">
        <v>59</v>
      </c>
      <c r="C6" s="61"/>
      <c r="E6" s="254" t="s">
        <v>227</v>
      </c>
      <c r="F6" s="254"/>
      <c r="G6" s="253" t="str">
        <f>IFERROR(C6/(C8*C8),"")</f>
        <v/>
      </c>
      <c r="H6" s="253"/>
      <c r="I6" s="253"/>
      <c r="J6" s="161"/>
      <c r="L6" s="252" t="str">
        <f>IF(G6="","",IF(G6&lt;17,"Muito Abaixo do Peso",IF(AND(G6&gt;17,G6&lt;18.49),"Abaixo do Peso",IF(AND(G6&gt;18.5,G6&lt;24.99),"Peso Normal",IF(AND(G6&gt;25,G6&lt;29.99),"Sobrepeso",IF(AND(G6&gt;30,G6&lt;34.99),"Obesidade Grau 1",IF(AND(G6&gt;35,G6&lt;39.99),"Obesidade Grau 2",IF(G6&gt;40,"Obesidade Grau 3"))))))))</f>
        <v/>
      </c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62"/>
    </row>
    <row r="7" spans="2:24" ht="14.4" customHeight="1" x14ac:dyDescent="0.3">
      <c r="B7" s="60"/>
      <c r="C7" s="63"/>
      <c r="E7" s="254"/>
      <c r="F7" s="254"/>
      <c r="G7" s="253"/>
      <c r="H7" s="253"/>
      <c r="I7" s="253"/>
      <c r="J7" s="161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62"/>
    </row>
    <row r="8" spans="2:24" ht="14.4" customHeight="1" x14ac:dyDescent="0.3">
      <c r="B8" s="60" t="s">
        <v>58</v>
      </c>
      <c r="C8" s="64"/>
      <c r="E8" s="254"/>
      <c r="F8" s="254"/>
      <c r="G8" s="253"/>
      <c r="H8" s="253"/>
      <c r="I8" s="253"/>
      <c r="J8" s="161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62"/>
    </row>
    <row r="9" spans="2:24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7"/>
    </row>
    <row r="11" spans="2:24" ht="18.600000000000001" thickBot="1" x14ac:dyDescent="0.35">
      <c r="B11" s="245" t="s">
        <v>231</v>
      </c>
      <c r="C11" s="245"/>
      <c r="D11" s="245"/>
      <c r="E11" s="56"/>
      <c r="F11" s="56"/>
      <c r="G11" s="56"/>
      <c r="H11" s="56"/>
      <c r="I11" s="56"/>
      <c r="K11" s="245" t="s">
        <v>230</v>
      </c>
      <c r="L11" s="245"/>
      <c r="M11" s="245"/>
      <c r="N11" s="245"/>
      <c r="O11" s="245"/>
      <c r="P11" s="56"/>
      <c r="Q11" s="56"/>
      <c r="R11" s="56"/>
      <c r="S11" s="56"/>
      <c r="U11" s="245" t="s">
        <v>229</v>
      </c>
      <c r="V11" s="245"/>
      <c r="W11" s="245"/>
      <c r="X11" s="56"/>
    </row>
    <row r="12" spans="2:24" ht="15" thickTop="1" x14ac:dyDescent="0.3">
      <c r="B12" s="68"/>
      <c r="C12" s="243"/>
      <c r="D12" s="243"/>
      <c r="E12" s="243"/>
      <c r="F12" s="58"/>
      <c r="G12" s="58"/>
      <c r="H12" s="58"/>
      <c r="I12" s="69"/>
      <c r="K12" s="70"/>
      <c r="S12" s="71"/>
      <c r="U12" s="89"/>
      <c r="V12" s="58"/>
      <c r="W12" s="58"/>
      <c r="X12" s="90"/>
    </row>
    <row r="13" spans="2:24" x14ac:dyDescent="0.3">
      <c r="B13" s="72"/>
      <c r="I13" s="73"/>
      <c r="K13" s="70"/>
      <c r="M13" s="134" t="s">
        <v>165</v>
      </c>
      <c r="O13" s="134" t="s">
        <v>166</v>
      </c>
      <c r="S13" s="71"/>
      <c r="U13" s="70"/>
      <c r="X13" s="71"/>
    </row>
    <row r="14" spans="2:24" ht="5.0999999999999996" customHeight="1" x14ac:dyDescent="0.3">
      <c r="B14" s="72"/>
      <c r="I14" s="73"/>
      <c r="K14" s="70"/>
      <c r="S14" s="71"/>
      <c r="U14" s="70"/>
      <c r="X14" s="71"/>
    </row>
    <row r="15" spans="2:24" x14ac:dyDescent="0.3">
      <c r="B15" s="74" t="s">
        <v>61</v>
      </c>
      <c r="C15" s="61"/>
      <c r="I15" s="73"/>
      <c r="K15" s="70"/>
      <c r="L15" s="75" t="s">
        <v>22</v>
      </c>
      <c r="M15" s="61"/>
      <c r="N15" s="76"/>
      <c r="O15" s="76"/>
      <c r="S15" s="71"/>
      <c r="U15" s="70"/>
      <c r="V15" s="55" t="s">
        <v>224</v>
      </c>
      <c r="W15" s="61"/>
      <c r="X15" s="71"/>
    </row>
    <row r="16" spans="2:24" customFormat="1" ht="3.9" customHeight="1" x14ac:dyDescent="0.3">
      <c r="B16" s="85"/>
      <c r="C16" s="86"/>
      <c r="I16" s="87"/>
      <c r="K16" s="15"/>
      <c r="L16" s="14"/>
      <c r="M16" s="86"/>
      <c r="N16" s="86"/>
      <c r="O16" s="86"/>
      <c r="S16" s="16"/>
      <c r="U16" s="70"/>
      <c r="V16" s="55"/>
      <c r="W16" s="86"/>
      <c r="X16" s="16"/>
    </row>
    <row r="17" spans="2:24" x14ac:dyDescent="0.3">
      <c r="B17" s="74" t="s">
        <v>62</v>
      </c>
      <c r="C17" s="61"/>
      <c r="I17" s="73"/>
      <c r="K17" s="70"/>
      <c r="L17" s="75" t="s">
        <v>24</v>
      </c>
      <c r="M17" s="61"/>
      <c r="N17" s="76"/>
      <c r="O17" s="76"/>
      <c r="S17" s="71"/>
      <c r="U17" s="70"/>
      <c r="V17" s="55" t="s">
        <v>225</v>
      </c>
      <c r="W17" s="61"/>
      <c r="X17" s="71"/>
    </row>
    <row r="18" spans="2:24" customFormat="1" ht="3.9" customHeight="1" x14ac:dyDescent="0.3">
      <c r="B18" s="85"/>
      <c r="C18" s="86"/>
      <c r="I18" s="87"/>
      <c r="K18" s="15"/>
      <c r="L18" s="14"/>
      <c r="M18" s="86"/>
      <c r="N18" s="86"/>
      <c r="O18" s="86"/>
      <c r="S18" s="16"/>
      <c r="U18" s="70"/>
      <c r="V18" s="55"/>
      <c r="W18" s="86"/>
      <c r="X18" s="16"/>
    </row>
    <row r="19" spans="2:24" x14ac:dyDescent="0.3">
      <c r="B19" s="74" t="s">
        <v>63</v>
      </c>
      <c r="C19" s="61"/>
      <c r="I19" s="73"/>
      <c r="K19" s="70"/>
      <c r="L19" s="75" t="s">
        <v>26</v>
      </c>
      <c r="M19" s="61"/>
      <c r="N19" s="76"/>
      <c r="O19" s="76"/>
      <c r="S19" s="71"/>
      <c r="U19" s="70"/>
      <c r="V19" s="55" t="s">
        <v>226</v>
      </c>
      <c r="W19" s="61"/>
      <c r="X19" s="71"/>
    </row>
    <row r="20" spans="2:24" customFormat="1" ht="3.9" customHeight="1" x14ac:dyDescent="0.3">
      <c r="B20" s="85"/>
      <c r="C20" s="86"/>
      <c r="I20" s="87"/>
      <c r="K20" s="15"/>
      <c r="L20" s="14"/>
      <c r="M20" s="86"/>
      <c r="N20" s="86"/>
      <c r="O20" s="86"/>
      <c r="S20" s="16"/>
      <c r="U20" s="70"/>
      <c r="V20" s="55"/>
      <c r="W20" s="86"/>
      <c r="X20" s="16"/>
    </row>
    <row r="21" spans="2:24" x14ac:dyDescent="0.3">
      <c r="B21" s="74" t="s">
        <v>64</v>
      </c>
      <c r="C21" s="61"/>
      <c r="I21" s="73"/>
      <c r="K21" s="70"/>
      <c r="L21" s="75" t="s">
        <v>28</v>
      </c>
      <c r="M21" s="61"/>
      <c r="N21" s="76"/>
      <c r="O21" s="76"/>
      <c r="S21" s="71"/>
      <c r="U21" s="70"/>
      <c r="X21" s="71"/>
    </row>
    <row r="22" spans="2:24" customFormat="1" ht="3.9" customHeight="1" x14ac:dyDescent="0.3">
      <c r="B22" s="85"/>
      <c r="C22" s="86"/>
      <c r="I22" s="87"/>
      <c r="K22" s="15"/>
      <c r="L22" s="14"/>
      <c r="M22" s="86"/>
      <c r="N22" s="86"/>
      <c r="O22" s="86"/>
      <c r="S22" s="16"/>
      <c r="U22" s="70"/>
      <c r="V22" s="55"/>
      <c r="W22" s="55"/>
      <c r="X22" s="71"/>
    </row>
    <row r="23" spans="2:24" x14ac:dyDescent="0.3">
      <c r="B23" s="74" t="s">
        <v>65</v>
      </c>
      <c r="C23" s="61"/>
      <c r="I23" s="73"/>
      <c r="K23" s="70"/>
      <c r="L23" s="75" t="s">
        <v>30</v>
      </c>
      <c r="M23" s="61"/>
      <c r="N23" s="76"/>
      <c r="O23" s="76"/>
      <c r="S23" s="71"/>
      <c r="U23" s="70"/>
      <c r="X23" s="71"/>
    </row>
    <row r="24" spans="2:24" customFormat="1" ht="3.9" customHeight="1" x14ac:dyDescent="0.3">
      <c r="B24" s="85"/>
      <c r="C24" s="86"/>
      <c r="I24" s="87"/>
      <c r="K24" s="15"/>
      <c r="L24" s="14"/>
      <c r="M24" s="86"/>
      <c r="N24" s="86"/>
      <c r="O24" s="86"/>
      <c r="S24" s="16"/>
      <c r="U24" s="15"/>
      <c r="X24" s="16"/>
    </row>
    <row r="25" spans="2:24" x14ac:dyDescent="0.3">
      <c r="B25" s="74" t="s">
        <v>66</v>
      </c>
      <c r="C25" s="61"/>
      <c r="I25" s="73"/>
      <c r="K25" s="70"/>
      <c r="L25" s="75" t="s">
        <v>23</v>
      </c>
      <c r="M25" s="61"/>
      <c r="N25" s="76"/>
      <c r="O25" s="61"/>
      <c r="S25" s="71"/>
      <c r="U25" s="70"/>
      <c r="V25" s="75"/>
      <c r="W25" s="76"/>
      <c r="X25" s="71"/>
    </row>
    <row r="26" spans="2:24" customFormat="1" ht="3.9" customHeight="1" x14ac:dyDescent="0.3">
      <c r="B26" s="85"/>
      <c r="C26" s="86"/>
      <c r="I26" s="87"/>
      <c r="K26" s="15"/>
      <c r="L26" s="14"/>
      <c r="M26" s="86"/>
      <c r="N26" s="86"/>
      <c r="O26" s="86"/>
      <c r="S26" s="16"/>
      <c r="U26" s="15"/>
      <c r="V26" s="14"/>
      <c r="W26" s="86"/>
      <c r="X26" s="16"/>
    </row>
    <row r="27" spans="2:24" x14ac:dyDescent="0.3">
      <c r="B27" s="74" t="s">
        <v>67</v>
      </c>
      <c r="C27" s="61"/>
      <c r="I27" s="73"/>
      <c r="K27" s="70"/>
      <c r="L27" s="75" t="s">
        <v>25</v>
      </c>
      <c r="M27" s="61"/>
      <c r="N27" s="76"/>
      <c r="O27" s="61"/>
      <c r="S27" s="71"/>
      <c r="U27" s="70"/>
      <c r="V27" s="75"/>
      <c r="W27" s="76"/>
      <c r="X27" s="71"/>
    </row>
    <row r="28" spans="2:24" customFormat="1" ht="3.9" customHeight="1" x14ac:dyDescent="0.3">
      <c r="B28" s="85"/>
      <c r="C28" s="86"/>
      <c r="I28" s="87"/>
      <c r="K28" s="15"/>
      <c r="L28" s="14"/>
      <c r="M28" s="86"/>
      <c r="N28" s="86"/>
      <c r="O28" s="86"/>
      <c r="S28" s="16"/>
      <c r="U28" s="15"/>
      <c r="V28" s="14"/>
      <c r="W28" s="86"/>
      <c r="X28" s="16"/>
    </row>
    <row r="29" spans="2:24" x14ac:dyDescent="0.3">
      <c r="B29" s="74" t="s">
        <v>68</v>
      </c>
      <c r="C29" s="61"/>
      <c r="I29" s="73"/>
      <c r="K29" s="70"/>
      <c r="L29" s="75" t="s">
        <v>27</v>
      </c>
      <c r="M29" s="61"/>
      <c r="N29" s="76"/>
      <c r="O29" s="61"/>
      <c r="S29" s="71"/>
      <c r="U29" s="70"/>
      <c r="V29" s="75"/>
      <c r="W29" s="76"/>
      <c r="X29" s="71"/>
    </row>
    <row r="30" spans="2:24" customFormat="1" ht="3.9" customHeight="1" x14ac:dyDescent="0.3">
      <c r="B30" s="85"/>
      <c r="C30" s="86"/>
      <c r="I30" s="87"/>
      <c r="K30" s="15"/>
      <c r="L30" s="14"/>
      <c r="M30" s="86"/>
      <c r="N30" s="86"/>
      <c r="O30" s="86"/>
      <c r="S30" s="16"/>
      <c r="U30" s="15"/>
      <c r="V30" s="14"/>
      <c r="W30" s="86"/>
      <c r="X30" s="16"/>
    </row>
    <row r="31" spans="2:24" x14ac:dyDescent="0.3">
      <c r="B31" s="74" t="s">
        <v>69</v>
      </c>
      <c r="C31" s="61"/>
      <c r="I31" s="73"/>
      <c r="K31" s="70"/>
      <c r="L31" s="75" t="s">
        <v>29</v>
      </c>
      <c r="M31" s="61"/>
      <c r="N31" s="76"/>
      <c r="O31" s="61"/>
      <c r="S31" s="71"/>
      <c r="U31" s="70"/>
      <c r="X31" s="71"/>
    </row>
    <row r="32" spans="2:24" customFormat="1" ht="3.9" customHeight="1" x14ac:dyDescent="0.3">
      <c r="B32" s="88"/>
      <c r="C32" s="86"/>
      <c r="I32" s="87"/>
      <c r="K32" s="15"/>
      <c r="S32" s="16"/>
      <c r="U32" s="15"/>
      <c r="X32" s="16"/>
    </row>
    <row r="33" spans="2:24" x14ac:dyDescent="0.3">
      <c r="B33" s="74" t="s">
        <v>70</v>
      </c>
      <c r="C33" s="158">
        <f>SUM(C15,C17,C19,C21,C23,C25,C27,C29,C31)</f>
        <v>0</v>
      </c>
      <c r="I33" s="73"/>
      <c r="K33" s="70"/>
      <c r="S33" s="71"/>
      <c r="U33" s="70"/>
      <c r="X33" s="71"/>
    </row>
    <row r="34" spans="2:24" x14ac:dyDescent="0.3">
      <c r="B34" s="74"/>
      <c r="C34" s="76"/>
      <c r="I34" s="73"/>
      <c r="K34" s="70"/>
      <c r="L34" s="75" t="s">
        <v>167</v>
      </c>
      <c r="M34" s="64" t="str">
        <f>IF(M23="","",M19/M23)</f>
        <v/>
      </c>
      <c r="N34" s="255" t="s">
        <v>168</v>
      </c>
      <c r="O34" s="256"/>
      <c r="P34" s="237" t="str">
        <f ca="1">IF('Dados do Aluno'!E8="Feminino",Apoio2!E55,Apoio2!F55)</f>
        <v/>
      </c>
      <c r="Q34" s="238"/>
      <c r="R34" s="239"/>
      <c r="S34" s="71"/>
      <c r="U34" s="70"/>
      <c r="X34" s="71"/>
    </row>
    <row r="35" spans="2:24" x14ac:dyDescent="0.3">
      <c r="B35" s="77"/>
      <c r="C35" s="78"/>
      <c r="D35" s="78"/>
      <c r="E35" s="78"/>
      <c r="F35" s="78"/>
      <c r="G35" s="78"/>
      <c r="H35" s="78"/>
      <c r="I35" s="79"/>
      <c r="K35" s="80"/>
      <c r="L35" s="81"/>
      <c r="M35" s="81"/>
      <c r="N35" s="81"/>
      <c r="O35" s="81"/>
      <c r="P35" s="81"/>
      <c r="Q35" s="81"/>
      <c r="R35" s="81"/>
      <c r="S35" s="82"/>
      <c r="U35" s="80"/>
      <c r="V35" s="81"/>
      <c r="W35" s="81"/>
      <c r="X35" s="82"/>
    </row>
    <row r="36" spans="2:24" ht="4.5" customHeight="1" x14ac:dyDescent="0.3"/>
    <row r="37" spans="2:24" ht="8.4" customHeight="1" x14ac:dyDescent="0.3"/>
    <row r="38" spans="2:24" ht="21.75" customHeight="1" thickBot="1" x14ac:dyDescent="0.35">
      <c r="B38" s="245" t="s">
        <v>156</v>
      </c>
      <c r="C38" s="245"/>
      <c r="D38" s="245"/>
      <c r="E38" s="56"/>
      <c r="F38" s="56"/>
      <c r="G38" s="56"/>
      <c r="H38" s="56"/>
      <c r="I38" s="56"/>
    </row>
    <row r="39" spans="2:24" ht="21.75" customHeight="1" thickTop="1" x14ac:dyDescent="0.3">
      <c r="B39" s="57"/>
      <c r="C39" s="58"/>
      <c r="D39" s="58"/>
      <c r="E39" s="58"/>
      <c r="F39" s="58"/>
      <c r="G39" s="58"/>
      <c r="H39" s="58"/>
      <c r="I39" s="59"/>
    </row>
    <row r="40" spans="2:24" x14ac:dyDescent="0.3">
      <c r="B40" s="244" t="s">
        <v>135</v>
      </c>
      <c r="C40" s="242"/>
      <c r="D40" s="246"/>
      <c r="E40" s="247"/>
      <c r="F40" s="247"/>
      <c r="G40" s="247"/>
      <c r="H40" s="248"/>
      <c r="I40" s="62"/>
    </row>
    <row r="41" spans="2:24" x14ac:dyDescent="0.3">
      <c r="B41" s="94"/>
      <c r="I41" s="62"/>
    </row>
    <row r="42" spans="2:24" x14ac:dyDescent="0.3">
      <c r="B42" s="60" t="s">
        <v>136</v>
      </c>
      <c r="C42" s="83" t="str">
        <f>IFERROR(IF(D40="","",IF('Dados do Aluno'!E8="Masculino",VLOOKUP('Composição Corporal6'!D40,Apoio2!$AV$12:$AW$14,2,0),IF('Dados do Aluno'!E8="Feminino",VLOOKUP(D40,Apoio2!$AY$12:$AZ$14,2,0)))),"")</f>
        <v/>
      </c>
      <c r="E42" s="242" t="s">
        <v>140</v>
      </c>
      <c r="F42" s="242"/>
      <c r="G42" s="241"/>
      <c r="H42" s="84">
        <f>IF('Dados do Aluno'!E8="Masculino",'Composição Corporal6'!C6*0.241,'Composição Corporal6'!C6*0.209)</f>
        <v>0</v>
      </c>
      <c r="I42" s="62"/>
    </row>
    <row r="43" spans="2:24" customFormat="1" ht="3.75" customHeight="1" x14ac:dyDescent="0.3">
      <c r="B43" s="95"/>
      <c r="E43" s="85" t="s">
        <v>141</v>
      </c>
      <c r="F43" s="10"/>
      <c r="G43" s="10"/>
      <c r="I43" s="62"/>
    </row>
    <row r="44" spans="2:24" x14ac:dyDescent="0.3">
      <c r="B44" s="60" t="s">
        <v>137</v>
      </c>
      <c r="C44" s="84" t="str">
        <f>IFERROR(IF(C6="","",C6-C46),"")</f>
        <v/>
      </c>
      <c r="E44" s="242" t="s">
        <v>141</v>
      </c>
      <c r="F44" s="242"/>
      <c r="G44" s="241"/>
      <c r="H44" s="84">
        <f>3.02*(C8^2*(W19/100)*(W17/100)*400)^0.712</f>
        <v>0</v>
      </c>
      <c r="I44" s="96"/>
    </row>
    <row r="45" spans="2:24" customFormat="1" ht="3.75" customHeight="1" x14ac:dyDescent="0.3">
      <c r="B45" s="95"/>
      <c r="E45" s="85"/>
      <c r="F45" s="10"/>
      <c r="G45" s="10"/>
      <c r="I45" s="62"/>
    </row>
    <row r="46" spans="2:24" x14ac:dyDescent="0.3">
      <c r="B46" s="98" t="s">
        <v>138</v>
      </c>
      <c r="C46" s="84" t="str">
        <f>IFERROR(IF(C6=0,"",(C6-(C6*C42%))),"")</f>
        <v/>
      </c>
      <c r="D46" s="240" t="s">
        <v>142</v>
      </c>
      <c r="E46" s="242"/>
      <c r="F46" s="242"/>
      <c r="G46" s="241"/>
      <c r="H46" s="83" t="str">
        <f>IF(C42="","",IF('Dados do Aluno'!E8="Masculino",Apoio2!AW24,Apoio2!AW33))</f>
        <v/>
      </c>
      <c r="I46" s="96"/>
    </row>
    <row r="47" spans="2:24" customFormat="1" ht="3.75" customHeight="1" x14ac:dyDescent="0.3">
      <c r="B47" s="95"/>
      <c r="C47" s="14"/>
      <c r="E47" s="93"/>
      <c r="H47" s="97"/>
      <c r="I47" s="62"/>
    </row>
    <row r="48" spans="2:24" x14ac:dyDescent="0.3">
      <c r="B48" s="60" t="s">
        <v>139</v>
      </c>
      <c r="C48" s="84" t="str">
        <f>IFERROR(IF(C6="","",C6-(C44+H42+H44)),"")</f>
        <v/>
      </c>
      <c r="I48" s="96"/>
    </row>
    <row r="49" spans="2:9" x14ac:dyDescent="0.3">
      <c r="B49" s="65"/>
      <c r="C49" s="66"/>
      <c r="D49" s="66"/>
      <c r="E49" s="66"/>
      <c r="F49" s="66"/>
      <c r="G49" s="66"/>
      <c r="H49" s="66"/>
      <c r="I49" s="67"/>
    </row>
    <row r="52" spans="2:9" x14ac:dyDescent="0.3">
      <c r="B52" s="91" t="str">
        <f>B44</f>
        <v>Massa gorda</v>
      </c>
      <c r="C52" s="92" t="str">
        <f>C44</f>
        <v/>
      </c>
    </row>
    <row r="53" spans="2:9" x14ac:dyDescent="0.3">
      <c r="B53" s="91" t="str">
        <f>B46</f>
        <v>Massa livre de gordura</v>
      </c>
      <c r="C53" s="92" t="str">
        <f>C46</f>
        <v/>
      </c>
    </row>
    <row r="54" spans="2:9" x14ac:dyDescent="0.3">
      <c r="B54" s="91" t="str">
        <f>B48</f>
        <v>Massa muscular</v>
      </c>
      <c r="C54" s="92" t="str">
        <f>C48</f>
        <v/>
      </c>
    </row>
    <row r="55" spans="2:9" x14ac:dyDescent="0.3">
      <c r="B55" s="91" t="str">
        <f>E42</f>
        <v>Massa residual</v>
      </c>
      <c r="C55" s="92">
        <f>H42</f>
        <v>0</v>
      </c>
    </row>
    <row r="56" spans="2:9" x14ac:dyDescent="0.3">
      <c r="B56" s="91" t="str">
        <f>E44</f>
        <v>Massa Óssea</v>
      </c>
      <c r="C56" s="92">
        <f>H44</f>
        <v>0</v>
      </c>
    </row>
  </sheetData>
  <sheetProtection selectLockedCells="1"/>
  <mergeCells count="18">
    <mergeCell ref="C2:D2"/>
    <mergeCell ref="E2:X2"/>
    <mergeCell ref="B4:D4"/>
    <mergeCell ref="B11:D11"/>
    <mergeCell ref="K11:O11"/>
    <mergeCell ref="U11:W11"/>
    <mergeCell ref="L6:W8"/>
    <mergeCell ref="E6:F8"/>
    <mergeCell ref="G6:I8"/>
    <mergeCell ref="N34:O34"/>
    <mergeCell ref="P34:R34"/>
    <mergeCell ref="D46:G46"/>
    <mergeCell ref="C12:E12"/>
    <mergeCell ref="B40:C40"/>
    <mergeCell ref="E42:G42"/>
    <mergeCell ref="E44:G44"/>
    <mergeCell ref="B38:D38"/>
    <mergeCell ref="D40:H40"/>
  </mergeCells>
  <dataValidations count="1">
    <dataValidation type="list" allowBlank="1" showInputMessage="1" showErrorMessage="1" sqref="D40" xr:uid="{00000000-0002-0000-1700-000000000000}">
      <formula1>protocolos</formula1>
    </dataValidation>
  </dataValidations>
  <pageMargins left="0.25" right="0.25" top="0.75" bottom="0.75" header="0.3" footer="0.3"/>
  <pageSetup paperSize="9" scale="7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5">
    <pageSetUpPr fitToPage="1"/>
  </sheetPr>
  <dimension ref="B1:M34"/>
  <sheetViews>
    <sheetView showGridLines="0" topLeftCell="A4" zoomScaleNormal="100" workbookViewId="0">
      <selection activeCell="F7" sqref="F7"/>
    </sheetView>
  </sheetViews>
  <sheetFormatPr defaultRowHeight="14.4" x14ac:dyDescent="0.3"/>
  <cols>
    <col min="1" max="1" width="3.33203125" customWidth="1"/>
    <col min="2" max="2" width="1.109375" customWidth="1"/>
    <col min="4" max="4" width="17" customWidth="1"/>
    <col min="5" max="5" width="1.109375" customWidth="1"/>
    <col min="6" max="6" width="15.109375" bestFit="1" customWidth="1"/>
    <col min="8" max="8" width="21.44140625" customWidth="1"/>
    <col min="12" max="12" width="4.33203125" customWidth="1"/>
    <col min="13" max="13" width="0.6640625" customWidth="1"/>
  </cols>
  <sheetData>
    <row r="1" spans="2:13" ht="36.6" customHeight="1" x14ac:dyDescent="0.3"/>
    <row r="2" spans="2:13" ht="25.8" x14ac:dyDescent="0.3">
      <c r="B2" s="258" t="s">
        <v>216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2:13" ht="4.8" customHeight="1" x14ac:dyDescent="0.3"/>
    <row r="4" spans="2:13" ht="21.6" thickBot="1" x14ac:dyDescent="0.45">
      <c r="B4" s="260" t="s">
        <v>214</v>
      </c>
      <c r="C4" s="260"/>
      <c r="D4" s="260"/>
      <c r="E4" s="260"/>
      <c r="F4" s="260"/>
      <c r="G4" s="260"/>
      <c r="H4" s="260"/>
      <c r="I4" s="4"/>
      <c r="J4" s="4"/>
      <c r="K4" s="4"/>
      <c r="L4" s="4"/>
    </row>
    <row r="5" spans="2:13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3" x14ac:dyDescent="0.3">
      <c r="B6" s="15"/>
      <c r="L6" s="16"/>
    </row>
    <row r="7" spans="2:13" ht="15" customHeight="1" x14ac:dyDescent="0.3">
      <c r="B7" s="15"/>
      <c r="C7" s="259" t="s">
        <v>55</v>
      </c>
      <c r="D7" s="259"/>
      <c r="F7" s="12"/>
      <c r="G7" s="9"/>
      <c r="H7" s="9"/>
      <c r="I7" s="8"/>
      <c r="L7" s="16"/>
    </row>
    <row r="8" spans="2:13" ht="3.9" customHeight="1" x14ac:dyDescent="0.3">
      <c r="B8" s="15"/>
      <c r="C8" s="10"/>
      <c r="D8" s="10"/>
      <c r="E8" s="10"/>
      <c r="F8" s="9"/>
      <c r="L8" s="16"/>
    </row>
    <row r="9" spans="2:13" ht="15" customHeight="1" x14ac:dyDescent="0.3">
      <c r="B9" s="15"/>
      <c r="C9" s="10"/>
      <c r="D9" s="33" t="s">
        <v>54</v>
      </c>
      <c r="F9" s="13" t="str">
        <f>IF(F7="","",IF('Dados do Aluno'!E8="Masculino",Apoio!J42,Apoio!J48))</f>
        <v/>
      </c>
      <c r="H9" s="5"/>
      <c r="L9" s="16"/>
    </row>
    <row r="10" spans="2:13" x14ac:dyDescent="0.3">
      <c r="B10" s="15"/>
      <c r="L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3" spans="2:13" ht="21.6" thickBot="1" x14ac:dyDescent="0.45">
      <c r="B13" s="260" t="s">
        <v>215</v>
      </c>
      <c r="C13" s="260"/>
      <c r="D13" s="260"/>
      <c r="E13" s="260"/>
      <c r="F13" s="260"/>
      <c r="G13" s="260"/>
      <c r="H13" s="260"/>
    </row>
    <row r="14" spans="2:13" x14ac:dyDescent="0.3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3" x14ac:dyDescent="0.3">
      <c r="B15" s="15"/>
      <c r="L15" s="16"/>
    </row>
    <row r="16" spans="2:13" x14ac:dyDescent="0.3">
      <c r="B16" s="15"/>
      <c r="C16" s="259" t="s">
        <v>56</v>
      </c>
      <c r="D16" s="259"/>
      <c r="F16" s="12"/>
      <c r="G16" s="9"/>
      <c r="H16" s="9"/>
      <c r="I16" s="9"/>
      <c r="L16" s="16"/>
    </row>
    <row r="17" spans="2:12" ht="3.9" customHeight="1" x14ac:dyDescent="0.3">
      <c r="B17" s="15"/>
      <c r="C17" s="10"/>
      <c r="D17" s="10"/>
      <c r="E17" s="10"/>
      <c r="F17" s="9"/>
      <c r="G17" s="9"/>
      <c r="H17" s="9"/>
      <c r="I17" s="9"/>
      <c r="L17" s="16"/>
    </row>
    <row r="18" spans="2:12" x14ac:dyDescent="0.3">
      <c r="B18" s="15"/>
      <c r="C18" s="10"/>
      <c r="D18" s="33" t="s">
        <v>54</v>
      </c>
      <c r="F18" s="13" t="str">
        <f>IF(F16="","",IF('Dados do Aluno'!E8="Masculino",Apoio!J27,Apoio!J33))</f>
        <v/>
      </c>
      <c r="L18" s="16"/>
    </row>
    <row r="19" spans="2:12" x14ac:dyDescent="0.3">
      <c r="B19" s="15"/>
      <c r="H19" s="5"/>
      <c r="I19" s="10"/>
      <c r="L19" s="16"/>
    </row>
    <row r="20" spans="2:12" x14ac:dyDescent="0.3">
      <c r="B20" s="15"/>
      <c r="L20" s="16"/>
    </row>
    <row r="21" spans="2:12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3" spans="2:12" ht="21.6" thickBot="1" x14ac:dyDescent="0.45">
      <c r="B23" s="260" t="s">
        <v>50</v>
      </c>
      <c r="C23" s="260"/>
      <c r="D23" s="260"/>
      <c r="E23" s="260"/>
      <c r="F23" s="260"/>
      <c r="G23" s="260"/>
      <c r="H23" s="260"/>
      <c r="I23" s="4"/>
      <c r="J23" s="4"/>
      <c r="K23" s="4"/>
      <c r="L23" s="4"/>
    </row>
    <row r="24" spans="2:12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x14ac:dyDescent="0.3">
      <c r="B25" s="15"/>
      <c r="L25" s="16"/>
    </row>
    <row r="26" spans="2:12" x14ac:dyDescent="0.3">
      <c r="B26" s="15"/>
      <c r="C26" s="259" t="s">
        <v>235</v>
      </c>
      <c r="D26" s="259"/>
      <c r="F26" s="34"/>
      <c r="G26" s="9"/>
      <c r="H26" s="9"/>
      <c r="I26" s="8"/>
      <c r="L26" s="16"/>
    </row>
    <row r="27" spans="2:12" ht="3.9" customHeight="1" x14ac:dyDescent="0.3">
      <c r="B27" s="15"/>
      <c r="C27" s="10"/>
      <c r="D27" s="10"/>
      <c r="E27" s="10"/>
      <c r="F27" s="9"/>
      <c r="L27" s="16"/>
    </row>
    <row r="28" spans="2:12" x14ac:dyDescent="0.3">
      <c r="B28" s="15"/>
      <c r="C28" s="10"/>
      <c r="D28" s="33" t="s">
        <v>54</v>
      </c>
      <c r="F28" s="13" t="str">
        <f>IF(F26="","",IF('Dados do Aluno'!E8="Masculino",Apoio!J10,Apoio!J18))</f>
        <v/>
      </c>
      <c r="H28" s="5"/>
      <c r="L28" s="16"/>
    </row>
    <row r="29" spans="2:12" x14ac:dyDescent="0.3">
      <c r="B29" s="15"/>
      <c r="L29" s="16"/>
    </row>
    <row r="30" spans="2:12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4" spans="10:10" x14ac:dyDescent="0.3">
      <c r="J34" s="11" t="s">
        <v>60</v>
      </c>
    </row>
  </sheetData>
  <mergeCells count="7">
    <mergeCell ref="B2:M2"/>
    <mergeCell ref="C7:D7"/>
    <mergeCell ref="C16:D16"/>
    <mergeCell ref="C26:D26"/>
    <mergeCell ref="B4:H4"/>
    <mergeCell ref="B13:H13"/>
    <mergeCell ref="B23:H23"/>
  </mergeCells>
  <pageMargins left="0.511811024" right="0.511811024" top="0.78740157499999996" bottom="0.78740157499999996" header="0.31496062000000002" footer="0.31496062000000002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34"/>
  <sheetViews>
    <sheetView showGridLines="0" workbookViewId="0">
      <selection activeCell="F26" sqref="F26"/>
    </sheetView>
  </sheetViews>
  <sheetFormatPr defaultRowHeight="14.4" x14ac:dyDescent="0.3"/>
  <cols>
    <col min="1" max="1" width="3.33203125" customWidth="1"/>
    <col min="2" max="2" width="1.109375" customWidth="1"/>
    <col min="4" max="4" width="17" customWidth="1"/>
    <col min="5" max="5" width="1.109375" customWidth="1"/>
    <col min="6" max="6" width="15.109375" bestFit="1" customWidth="1"/>
    <col min="8" max="8" width="21.44140625" customWidth="1"/>
    <col min="12" max="12" width="4.33203125" customWidth="1"/>
    <col min="13" max="13" width="0.6640625" customWidth="1"/>
  </cols>
  <sheetData>
    <row r="1" spans="2:13" ht="36.6" customHeight="1" x14ac:dyDescent="0.3"/>
    <row r="2" spans="2:13" ht="25.8" x14ac:dyDescent="0.3">
      <c r="B2" s="258" t="s">
        <v>217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2:13" ht="4.8" customHeight="1" x14ac:dyDescent="0.3"/>
    <row r="4" spans="2:13" ht="21.6" thickBot="1" x14ac:dyDescent="0.45">
      <c r="B4" s="260" t="s">
        <v>214</v>
      </c>
      <c r="C4" s="260"/>
      <c r="D4" s="260"/>
      <c r="E4" s="260"/>
      <c r="F4" s="260"/>
      <c r="G4" s="260"/>
      <c r="H4" s="260"/>
      <c r="I4" s="4"/>
      <c r="J4" s="4"/>
      <c r="K4" s="4"/>
      <c r="L4" s="4"/>
    </row>
    <row r="5" spans="2:13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3" x14ac:dyDescent="0.3">
      <c r="B6" s="15"/>
      <c r="L6" s="16"/>
    </row>
    <row r="7" spans="2:13" ht="15" customHeight="1" x14ac:dyDescent="0.3">
      <c r="B7" s="15"/>
      <c r="C7" s="259" t="s">
        <v>55</v>
      </c>
      <c r="D7" s="259"/>
      <c r="F7" s="12"/>
      <c r="G7" s="9"/>
      <c r="H7" s="9"/>
      <c r="I7" s="8"/>
      <c r="L7" s="16"/>
    </row>
    <row r="8" spans="2:13" ht="3.9" customHeight="1" x14ac:dyDescent="0.3">
      <c r="B8" s="15"/>
      <c r="C8" s="10"/>
      <c r="D8" s="10"/>
      <c r="E8" s="10"/>
      <c r="F8" s="9"/>
      <c r="L8" s="16"/>
    </row>
    <row r="9" spans="2:13" ht="15" customHeight="1" x14ac:dyDescent="0.3">
      <c r="B9" s="15"/>
      <c r="C9" s="10"/>
      <c r="D9" s="33" t="s">
        <v>54</v>
      </c>
      <c r="F9" s="13" t="str">
        <f>IF(F7="","",IF('Dados do Aluno'!E8="Masculino",Apoio!M42,Apoio!M48))</f>
        <v/>
      </c>
      <c r="H9" s="5"/>
      <c r="L9" s="16"/>
    </row>
    <row r="10" spans="2:13" x14ac:dyDescent="0.3">
      <c r="B10" s="15"/>
      <c r="L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3" spans="2:13" ht="21.6" thickBot="1" x14ac:dyDescent="0.45">
      <c r="B13" s="260" t="s">
        <v>215</v>
      </c>
      <c r="C13" s="260"/>
      <c r="D13" s="260"/>
      <c r="E13" s="260"/>
      <c r="F13" s="260"/>
      <c r="G13" s="260"/>
      <c r="H13" s="260"/>
    </row>
    <row r="14" spans="2:13" x14ac:dyDescent="0.3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3" x14ac:dyDescent="0.3">
      <c r="B15" s="15"/>
      <c r="L15" s="16"/>
    </row>
    <row r="16" spans="2:13" x14ac:dyDescent="0.3">
      <c r="B16" s="15"/>
      <c r="C16" s="259" t="s">
        <v>56</v>
      </c>
      <c r="D16" s="259"/>
      <c r="F16" s="12"/>
      <c r="G16" s="9"/>
      <c r="H16" s="9"/>
      <c r="I16" s="9"/>
      <c r="L16" s="16"/>
    </row>
    <row r="17" spans="2:12" ht="3.9" customHeight="1" x14ac:dyDescent="0.3">
      <c r="B17" s="15"/>
      <c r="C17" s="10"/>
      <c r="D17" s="10"/>
      <c r="E17" s="10"/>
      <c r="F17" s="9"/>
      <c r="G17" s="9"/>
      <c r="H17" s="9"/>
      <c r="I17" s="9"/>
      <c r="L17" s="16"/>
    </row>
    <row r="18" spans="2:12" x14ac:dyDescent="0.3">
      <c r="B18" s="15"/>
      <c r="C18" s="10"/>
      <c r="D18" s="33" t="s">
        <v>54</v>
      </c>
      <c r="F18" s="13" t="str">
        <f>IF(F16="","",IF('Dados do Aluno'!E8="Masculino",Apoio!M27,Apoio!M33))</f>
        <v/>
      </c>
      <c r="L18" s="16"/>
    </row>
    <row r="19" spans="2:12" x14ac:dyDescent="0.3">
      <c r="B19" s="15"/>
      <c r="H19" s="5"/>
      <c r="I19" s="10"/>
      <c r="L19" s="16"/>
    </row>
    <row r="20" spans="2:12" x14ac:dyDescent="0.3">
      <c r="B20" s="15"/>
      <c r="L20" s="16"/>
    </row>
    <row r="21" spans="2:12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3" spans="2:12" ht="21.6" thickBot="1" x14ac:dyDescent="0.45">
      <c r="B23" s="260" t="s">
        <v>50</v>
      </c>
      <c r="C23" s="260"/>
      <c r="D23" s="260"/>
      <c r="E23" s="260"/>
      <c r="F23" s="260"/>
      <c r="G23" s="260"/>
      <c r="H23" s="260"/>
      <c r="I23" s="4"/>
      <c r="J23" s="4"/>
      <c r="K23" s="4"/>
      <c r="L23" s="4"/>
    </row>
    <row r="24" spans="2:12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x14ac:dyDescent="0.3">
      <c r="B25" s="15"/>
      <c r="L25" s="16"/>
    </row>
    <row r="26" spans="2:12" x14ac:dyDescent="0.3">
      <c r="B26" s="15"/>
      <c r="C26" s="259" t="s">
        <v>235</v>
      </c>
      <c r="D26" s="259"/>
      <c r="F26" s="34"/>
      <c r="G26" s="9"/>
      <c r="H26" s="9"/>
      <c r="I26" s="8"/>
      <c r="L26" s="16"/>
    </row>
    <row r="27" spans="2:12" ht="3.9" customHeight="1" x14ac:dyDescent="0.3">
      <c r="B27" s="15"/>
      <c r="C27" s="10"/>
      <c r="D27" s="10"/>
      <c r="E27" s="10"/>
      <c r="F27" s="9"/>
      <c r="L27" s="16"/>
    </row>
    <row r="28" spans="2:12" x14ac:dyDescent="0.3">
      <c r="B28" s="15"/>
      <c r="C28" s="10"/>
      <c r="D28" s="33" t="s">
        <v>54</v>
      </c>
      <c r="F28" s="13" t="str">
        <f>IF(F26="","",IF('Dados do Aluno'!E8="Masculino",Apoio!M10,Apoio!M18))</f>
        <v/>
      </c>
      <c r="H28" s="5"/>
      <c r="L28" s="16"/>
    </row>
    <row r="29" spans="2:12" x14ac:dyDescent="0.3">
      <c r="B29" s="15"/>
      <c r="L29" s="16"/>
    </row>
    <row r="30" spans="2:12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4" spans="10:10" x14ac:dyDescent="0.3">
      <c r="J34" s="11" t="s">
        <v>60</v>
      </c>
    </row>
  </sheetData>
  <mergeCells count="7">
    <mergeCell ref="C7:D7"/>
    <mergeCell ref="C16:D16"/>
    <mergeCell ref="C26:D26"/>
    <mergeCell ref="B2:M2"/>
    <mergeCell ref="B4:H4"/>
    <mergeCell ref="B13:H13"/>
    <mergeCell ref="B23:H23"/>
  </mergeCells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34"/>
  <sheetViews>
    <sheetView showGridLines="0" workbookViewId="0"/>
  </sheetViews>
  <sheetFormatPr defaultRowHeight="14.4" x14ac:dyDescent="0.3"/>
  <cols>
    <col min="1" max="1" width="3.33203125" customWidth="1"/>
    <col min="2" max="2" width="1.109375" customWidth="1"/>
    <col min="4" max="4" width="17" customWidth="1"/>
    <col min="5" max="5" width="1.109375" customWidth="1"/>
    <col min="6" max="6" width="15.109375" bestFit="1" customWidth="1"/>
    <col min="8" max="8" width="21.44140625" customWidth="1"/>
    <col min="12" max="12" width="4.33203125" customWidth="1"/>
    <col min="13" max="13" width="0.5546875" customWidth="1"/>
  </cols>
  <sheetData>
    <row r="1" spans="2:13" ht="36.6" customHeight="1" x14ac:dyDescent="0.3"/>
    <row r="2" spans="2:13" ht="25.8" x14ac:dyDescent="0.3">
      <c r="B2" s="258" t="s">
        <v>218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2:13" ht="4.8" customHeight="1" x14ac:dyDescent="0.3"/>
    <row r="4" spans="2:13" ht="21.6" thickBot="1" x14ac:dyDescent="0.45">
      <c r="B4" s="260" t="s">
        <v>214</v>
      </c>
      <c r="C4" s="260"/>
      <c r="D4" s="260"/>
      <c r="E4" s="260"/>
      <c r="F4" s="260"/>
      <c r="G4" s="260"/>
      <c r="H4" s="260"/>
      <c r="I4" s="4"/>
      <c r="J4" s="4"/>
      <c r="K4" s="4"/>
      <c r="L4" s="4"/>
    </row>
    <row r="5" spans="2:13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3" x14ac:dyDescent="0.3">
      <c r="B6" s="15"/>
      <c r="L6" s="16"/>
    </row>
    <row r="7" spans="2:13" ht="15" customHeight="1" x14ac:dyDescent="0.3">
      <c r="B7" s="15"/>
      <c r="C7" s="259" t="s">
        <v>55</v>
      </c>
      <c r="D7" s="259"/>
      <c r="F7" s="12"/>
      <c r="G7" s="9"/>
      <c r="H7" s="9"/>
      <c r="I7" s="8"/>
      <c r="L7" s="16"/>
    </row>
    <row r="8" spans="2:13" ht="3.9" customHeight="1" x14ac:dyDescent="0.3">
      <c r="B8" s="15"/>
      <c r="C8" s="10"/>
      <c r="D8" s="10"/>
      <c r="E8" s="10"/>
      <c r="F8" s="9"/>
      <c r="L8" s="16"/>
    </row>
    <row r="9" spans="2:13" ht="15" customHeight="1" x14ac:dyDescent="0.3">
      <c r="B9" s="15"/>
      <c r="C9" s="10"/>
      <c r="D9" s="33" t="s">
        <v>54</v>
      </c>
      <c r="F9" s="13" t="str">
        <f>IF(F7="","",IF('Dados do Aluno'!E8="Masculino",Apoio!P42,Apoio!P48))</f>
        <v/>
      </c>
      <c r="H9" s="5"/>
      <c r="L9" s="16"/>
    </row>
    <row r="10" spans="2:13" x14ac:dyDescent="0.3">
      <c r="B10" s="15"/>
      <c r="L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3" spans="2:13" ht="21.6" thickBot="1" x14ac:dyDescent="0.45">
      <c r="B13" s="260" t="s">
        <v>215</v>
      </c>
      <c r="C13" s="260"/>
      <c r="D13" s="260"/>
      <c r="E13" s="260"/>
      <c r="F13" s="260"/>
      <c r="G13" s="260"/>
      <c r="H13" s="260"/>
    </row>
    <row r="14" spans="2:13" x14ac:dyDescent="0.3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3" x14ac:dyDescent="0.3">
      <c r="B15" s="15"/>
      <c r="L15" s="16"/>
    </row>
    <row r="16" spans="2:13" x14ac:dyDescent="0.3">
      <c r="B16" s="15"/>
      <c r="C16" s="259" t="s">
        <v>56</v>
      </c>
      <c r="D16" s="259"/>
      <c r="F16" s="12"/>
      <c r="G16" s="9"/>
      <c r="H16" s="9"/>
      <c r="I16" s="9"/>
      <c r="L16" s="16"/>
    </row>
    <row r="17" spans="2:12" ht="3.9" customHeight="1" x14ac:dyDescent="0.3">
      <c r="B17" s="15"/>
      <c r="C17" s="10"/>
      <c r="D17" s="10"/>
      <c r="E17" s="10"/>
      <c r="F17" s="9"/>
      <c r="G17" s="9"/>
      <c r="H17" s="9"/>
      <c r="I17" s="9"/>
      <c r="L17" s="16"/>
    </row>
    <row r="18" spans="2:12" x14ac:dyDescent="0.3">
      <c r="B18" s="15"/>
      <c r="C18" s="10"/>
      <c r="D18" s="33" t="s">
        <v>54</v>
      </c>
      <c r="F18" s="13" t="str">
        <f>IF(F16="","",IF('Dados do Aluno'!E8="Masculino",Apoio!P27,Apoio!P33))</f>
        <v/>
      </c>
      <c r="L18" s="16"/>
    </row>
    <row r="19" spans="2:12" x14ac:dyDescent="0.3">
      <c r="B19" s="15"/>
      <c r="H19" s="5"/>
      <c r="I19" s="10"/>
      <c r="L19" s="16"/>
    </row>
    <row r="20" spans="2:12" x14ac:dyDescent="0.3">
      <c r="B20" s="15"/>
      <c r="L20" s="16"/>
    </row>
    <row r="21" spans="2:12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3" spans="2:12" ht="21.6" thickBot="1" x14ac:dyDescent="0.45">
      <c r="B23" s="260" t="s">
        <v>50</v>
      </c>
      <c r="C23" s="260"/>
      <c r="D23" s="260"/>
      <c r="E23" s="260"/>
      <c r="F23" s="260"/>
      <c r="G23" s="260"/>
      <c r="H23" s="260"/>
      <c r="I23" s="4"/>
      <c r="J23" s="4"/>
      <c r="K23" s="4"/>
      <c r="L23" s="4"/>
    </row>
    <row r="24" spans="2:12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x14ac:dyDescent="0.3">
      <c r="B25" s="15"/>
      <c r="L25" s="16"/>
    </row>
    <row r="26" spans="2:12" x14ac:dyDescent="0.3">
      <c r="B26" s="15"/>
      <c r="C26" s="259" t="s">
        <v>235</v>
      </c>
      <c r="D26" s="259"/>
      <c r="F26" s="34"/>
      <c r="G26" s="9"/>
      <c r="H26" s="9"/>
      <c r="I26" s="8"/>
      <c r="L26" s="16"/>
    </row>
    <row r="27" spans="2:12" ht="3.9" customHeight="1" x14ac:dyDescent="0.3">
      <c r="B27" s="15"/>
      <c r="C27" s="10"/>
      <c r="D27" s="10"/>
      <c r="E27" s="10"/>
      <c r="F27" s="9"/>
      <c r="L27" s="16"/>
    </row>
    <row r="28" spans="2:12" x14ac:dyDescent="0.3">
      <c r="B28" s="15"/>
      <c r="C28" s="10"/>
      <c r="D28" s="33" t="s">
        <v>54</v>
      </c>
      <c r="F28" s="13" t="str">
        <f>IF(F26="","",IF('Dados do Aluno'!E8="Masculino",Apoio!P10,Apoio!P18))</f>
        <v/>
      </c>
      <c r="H28" s="5"/>
      <c r="L28" s="16"/>
    </row>
    <row r="29" spans="2:12" x14ac:dyDescent="0.3">
      <c r="B29" s="15"/>
      <c r="L29" s="16"/>
    </row>
    <row r="30" spans="2:12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4" spans="10:10" x14ac:dyDescent="0.3">
      <c r="J34" s="11" t="s">
        <v>60</v>
      </c>
    </row>
  </sheetData>
  <mergeCells count="7">
    <mergeCell ref="C7:D7"/>
    <mergeCell ref="C16:D16"/>
    <mergeCell ref="C26:D26"/>
    <mergeCell ref="B2:M2"/>
    <mergeCell ref="B4:H4"/>
    <mergeCell ref="B13:H13"/>
    <mergeCell ref="B23:H23"/>
  </mergeCells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34"/>
  <sheetViews>
    <sheetView showGridLines="0" workbookViewId="0"/>
  </sheetViews>
  <sheetFormatPr defaultRowHeight="14.4" x14ac:dyDescent="0.3"/>
  <cols>
    <col min="1" max="1" width="3.33203125" customWidth="1"/>
    <col min="2" max="2" width="1.109375" customWidth="1"/>
    <col min="4" max="4" width="17" customWidth="1"/>
    <col min="5" max="5" width="1.109375" customWidth="1"/>
    <col min="6" max="6" width="15.109375" bestFit="1" customWidth="1"/>
    <col min="8" max="8" width="21.44140625" customWidth="1"/>
    <col min="12" max="12" width="4.33203125" customWidth="1"/>
    <col min="13" max="13" width="0.44140625" customWidth="1"/>
  </cols>
  <sheetData>
    <row r="1" spans="2:13" ht="36.6" customHeight="1" x14ac:dyDescent="0.3"/>
    <row r="2" spans="2:13" ht="25.8" x14ac:dyDescent="0.3">
      <c r="B2" s="258" t="s">
        <v>219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2:13" ht="4.8" customHeight="1" x14ac:dyDescent="0.3"/>
    <row r="4" spans="2:13" ht="21.6" thickBot="1" x14ac:dyDescent="0.45">
      <c r="B4" s="260" t="s">
        <v>214</v>
      </c>
      <c r="C4" s="260"/>
      <c r="D4" s="260"/>
      <c r="E4" s="260"/>
      <c r="F4" s="260"/>
      <c r="G4" s="260"/>
      <c r="H4" s="260"/>
      <c r="I4" s="4"/>
      <c r="J4" s="4"/>
      <c r="K4" s="4"/>
      <c r="L4" s="4"/>
    </row>
    <row r="5" spans="2:13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3" x14ac:dyDescent="0.3">
      <c r="B6" s="15"/>
      <c r="L6" s="16"/>
    </row>
    <row r="7" spans="2:13" ht="15" customHeight="1" x14ac:dyDescent="0.3">
      <c r="B7" s="15"/>
      <c r="C7" s="259" t="s">
        <v>55</v>
      </c>
      <c r="D7" s="259"/>
      <c r="F7" s="12"/>
      <c r="G7" s="9"/>
      <c r="H7" s="9"/>
      <c r="I7" s="8"/>
      <c r="L7" s="16"/>
    </row>
    <row r="8" spans="2:13" ht="3.9" customHeight="1" x14ac:dyDescent="0.3">
      <c r="B8" s="15"/>
      <c r="C8" s="10"/>
      <c r="D8" s="10"/>
      <c r="E8" s="10"/>
      <c r="F8" s="9"/>
      <c r="L8" s="16"/>
    </row>
    <row r="9" spans="2:13" ht="15" customHeight="1" x14ac:dyDescent="0.3">
      <c r="B9" s="15"/>
      <c r="C9" s="10"/>
      <c r="D9" s="33" t="s">
        <v>54</v>
      </c>
      <c r="F9" s="13" t="str">
        <f>IF(F7="","",IF('Dados do Aluno'!E8="Masculino",Apoio!S42,Apoio!S48))</f>
        <v/>
      </c>
      <c r="H9" s="5"/>
      <c r="L9" s="16"/>
    </row>
    <row r="10" spans="2:13" x14ac:dyDescent="0.3">
      <c r="B10" s="15"/>
      <c r="L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3" spans="2:13" ht="21.6" thickBot="1" x14ac:dyDescent="0.45">
      <c r="B13" s="260" t="s">
        <v>215</v>
      </c>
      <c r="C13" s="260"/>
      <c r="D13" s="260"/>
      <c r="E13" s="260"/>
      <c r="F13" s="260"/>
      <c r="G13" s="260"/>
      <c r="H13" s="260"/>
    </row>
    <row r="14" spans="2:13" x14ac:dyDescent="0.3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3" x14ac:dyDescent="0.3">
      <c r="B15" s="15"/>
      <c r="L15" s="16"/>
    </row>
    <row r="16" spans="2:13" x14ac:dyDescent="0.3">
      <c r="B16" s="15"/>
      <c r="C16" s="259" t="s">
        <v>56</v>
      </c>
      <c r="D16" s="259"/>
      <c r="F16" s="12"/>
      <c r="G16" s="9"/>
      <c r="H16" s="9"/>
      <c r="I16" s="9"/>
      <c r="L16" s="16"/>
    </row>
    <row r="17" spans="2:12" ht="3.9" customHeight="1" x14ac:dyDescent="0.3">
      <c r="B17" s="15"/>
      <c r="C17" s="10"/>
      <c r="D17" s="10"/>
      <c r="E17" s="10"/>
      <c r="F17" s="9"/>
      <c r="G17" s="9"/>
      <c r="H17" s="9"/>
      <c r="I17" s="9"/>
      <c r="L17" s="16"/>
    </row>
    <row r="18" spans="2:12" x14ac:dyDescent="0.3">
      <c r="B18" s="15"/>
      <c r="C18" s="10"/>
      <c r="D18" s="33" t="s">
        <v>54</v>
      </c>
      <c r="F18" s="13" t="str">
        <f>IF(F16="","",IF('Dados do Aluno'!E8="Masculino",Apoio!S27,Apoio!S33))</f>
        <v/>
      </c>
      <c r="L18" s="16"/>
    </row>
    <row r="19" spans="2:12" x14ac:dyDescent="0.3">
      <c r="B19" s="15"/>
      <c r="H19" s="5"/>
      <c r="I19" s="10"/>
      <c r="L19" s="16"/>
    </row>
    <row r="20" spans="2:12" x14ac:dyDescent="0.3">
      <c r="B20" s="15"/>
      <c r="L20" s="16"/>
    </row>
    <row r="21" spans="2:12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3" spans="2:12" ht="21.6" thickBot="1" x14ac:dyDescent="0.45">
      <c r="B23" s="260" t="s">
        <v>50</v>
      </c>
      <c r="C23" s="260"/>
      <c r="D23" s="260"/>
      <c r="E23" s="260"/>
      <c r="F23" s="260"/>
      <c r="G23" s="260"/>
      <c r="H23" s="260"/>
      <c r="I23" s="4"/>
      <c r="J23" s="4"/>
      <c r="K23" s="4"/>
      <c r="L23" s="4"/>
    </row>
    <row r="24" spans="2:12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x14ac:dyDescent="0.3">
      <c r="B25" s="15"/>
      <c r="L25" s="16"/>
    </row>
    <row r="26" spans="2:12" x14ac:dyDescent="0.3">
      <c r="B26" s="15"/>
      <c r="C26" s="259" t="s">
        <v>235</v>
      </c>
      <c r="D26" s="259"/>
      <c r="F26" s="34"/>
      <c r="G26" s="9"/>
      <c r="H26" s="9"/>
      <c r="I26" s="8"/>
      <c r="L26" s="16"/>
    </row>
    <row r="27" spans="2:12" ht="3.9" customHeight="1" x14ac:dyDescent="0.3">
      <c r="B27" s="15"/>
      <c r="C27" s="10"/>
      <c r="D27" s="10"/>
      <c r="E27" s="10"/>
      <c r="F27" s="9"/>
      <c r="L27" s="16"/>
    </row>
    <row r="28" spans="2:12" x14ac:dyDescent="0.3">
      <c r="B28" s="15"/>
      <c r="C28" s="10"/>
      <c r="D28" s="33" t="s">
        <v>54</v>
      </c>
      <c r="F28" s="13" t="str">
        <f>IF(F26="","",IF('Dados do Aluno'!E8="Masculino",Apoio!S10,Apoio!S18))</f>
        <v/>
      </c>
      <c r="H28" s="5"/>
      <c r="L28" s="16"/>
    </row>
    <row r="29" spans="2:12" x14ac:dyDescent="0.3">
      <c r="B29" s="15"/>
      <c r="L29" s="16"/>
    </row>
    <row r="30" spans="2:12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4" spans="10:10" x14ac:dyDescent="0.3">
      <c r="J34" s="11" t="s">
        <v>60</v>
      </c>
    </row>
  </sheetData>
  <mergeCells count="7">
    <mergeCell ref="C7:D7"/>
    <mergeCell ref="C16:D16"/>
    <mergeCell ref="C26:D26"/>
    <mergeCell ref="B2:M2"/>
    <mergeCell ref="B4:H4"/>
    <mergeCell ref="B13:H13"/>
    <mergeCell ref="B23:H23"/>
  </mergeCells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34"/>
  <sheetViews>
    <sheetView showGridLines="0" workbookViewId="0">
      <selection activeCell="C27" sqref="C27"/>
    </sheetView>
  </sheetViews>
  <sheetFormatPr defaultRowHeight="14.4" x14ac:dyDescent="0.3"/>
  <cols>
    <col min="1" max="1" width="3.33203125" customWidth="1"/>
    <col min="2" max="2" width="1.109375" customWidth="1"/>
    <col min="4" max="4" width="17" customWidth="1"/>
    <col min="5" max="5" width="1.109375" customWidth="1"/>
    <col min="6" max="6" width="15.109375" bestFit="1" customWidth="1"/>
    <col min="8" max="8" width="21.44140625" customWidth="1"/>
    <col min="12" max="12" width="4.33203125" customWidth="1"/>
    <col min="13" max="13" width="0.21875" customWidth="1"/>
  </cols>
  <sheetData>
    <row r="1" spans="2:13" ht="36.6" customHeight="1" x14ac:dyDescent="0.3"/>
    <row r="2" spans="2:13" ht="25.8" x14ac:dyDescent="0.3">
      <c r="B2" s="258" t="s">
        <v>220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2:13" ht="4.8" customHeight="1" x14ac:dyDescent="0.3"/>
    <row r="4" spans="2:13" ht="21.6" thickBot="1" x14ac:dyDescent="0.45">
      <c r="B4" s="260" t="s">
        <v>214</v>
      </c>
      <c r="C4" s="260"/>
      <c r="D4" s="260"/>
      <c r="E4" s="260"/>
      <c r="F4" s="260"/>
      <c r="G4" s="260"/>
      <c r="H4" s="260"/>
      <c r="I4" s="4"/>
      <c r="J4" s="4"/>
      <c r="K4" s="4"/>
      <c r="L4" s="4"/>
    </row>
    <row r="5" spans="2:13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3" x14ac:dyDescent="0.3">
      <c r="B6" s="15"/>
      <c r="L6" s="16"/>
    </row>
    <row r="7" spans="2:13" ht="15" customHeight="1" x14ac:dyDescent="0.3">
      <c r="B7" s="15"/>
      <c r="C7" s="259" t="s">
        <v>55</v>
      </c>
      <c r="D7" s="259"/>
      <c r="F7" s="12"/>
      <c r="G7" s="9"/>
      <c r="H7" s="9"/>
      <c r="I7" s="8"/>
      <c r="L7" s="16"/>
    </row>
    <row r="8" spans="2:13" ht="3.9" customHeight="1" x14ac:dyDescent="0.3">
      <c r="B8" s="15"/>
      <c r="C8" s="10"/>
      <c r="D8" s="10"/>
      <c r="E8" s="10"/>
      <c r="F8" s="9"/>
      <c r="L8" s="16"/>
    </row>
    <row r="9" spans="2:13" ht="15" customHeight="1" x14ac:dyDescent="0.3">
      <c r="B9" s="15"/>
      <c r="C9" s="10"/>
      <c r="D9" s="33" t="s">
        <v>54</v>
      </c>
      <c r="F9" s="13" t="str">
        <f>IF(F7="","",IF('Dados do Aluno'!E8="Masculino",Apoio!V42,Apoio!V48))</f>
        <v/>
      </c>
      <c r="H9" s="5"/>
      <c r="L9" s="16"/>
    </row>
    <row r="10" spans="2:13" x14ac:dyDescent="0.3">
      <c r="B10" s="15"/>
      <c r="L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3" spans="2:13" ht="21.6" thickBot="1" x14ac:dyDescent="0.45">
      <c r="B13" s="260" t="s">
        <v>215</v>
      </c>
      <c r="C13" s="260"/>
      <c r="D13" s="260"/>
      <c r="E13" s="260"/>
      <c r="F13" s="260"/>
      <c r="G13" s="260"/>
      <c r="H13" s="260"/>
    </row>
    <row r="14" spans="2:13" x14ac:dyDescent="0.3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3" x14ac:dyDescent="0.3">
      <c r="B15" s="15"/>
      <c r="L15" s="16"/>
    </row>
    <row r="16" spans="2:13" x14ac:dyDescent="0.3">
      <c r="B16" s="15"/>
      <c r="C16" s="259" t="s">
        <v>56</v>
      </c>
      <c r="D16" s="259"/>
      <c r="F16" s="12"/>
      <c r="G16" s="9"/>
      <c r="H16" s="9"/>
      <c r="I16" s="9"/>
      <c r="L16" s="16"/>
    </row>
    <row r="17" spans="2:12" ht="3.9" customHeight="1" x14ac:dyDescent="0.3">
      <c r="B17" s="15"/>
      <c r="C17" s="10"/>
      <c r="D17" s="10"/>
      <c r="E17" s="10"/>
      <c r="F17" s="9"/>
      <c r="G17" s="9"/>
      <c r="H17" s="9"/>
      <c r="I17" s="9"/>
      <c r="L17" s="16"/>
    </row>
    <row r="18" spans="2:12" x14ac:dyDescent="0.3">
      <c r="B18" s="15"/>
      <c r="C18" s="10"/>
      <c r="D18" s="33" t="s">
        <v>54</v>
      </c>
      <c r="F18" s="13" t="str">
        <f>IF(F16="","",IF('Dados do Aluno'!E8="Masculino",Apoio!V27,Apoio!V33))</f>
        <v/>
      </c>
      <c r="L18" s="16"/>
    </row>
    <row r="19" spans="2:12" x14ac:dyDescent="0.3">
      <c r="B19" s="15"/>
      <c r="H19" s="5"/>
      <c r="I19" s="10"/>
      <c r="L19" s="16"/>
    </row>
    <row r="20" spans="2:12" x14ac:dyDescent="0.3">
      <c r="B20" s="15"/>
      <c r="L20" s="16"/>
    </row>
    <row r="21" spans="2:12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3" spans="2:12" ht="21.6" thickBot="1" x14ac:dyDescent="0.45">
      <c r="B23" s="260" t="s">
        <v>50</v>
      </c>
      <c r="C23" s="260"/>
      <c r="D23" s="260"/>
      <c r="E23" s="260"/>
      <c r="F23" s="260"/>
      <c r="G23" s="260"/>
      <c r="H23" s="260"/>
      <c r="I23" s="4"/>
      <c r="J23" s="4"/>
      <c r="K23" s="4"/>
      <c r="L23" s="4"/>
    </row>
    <row r="24" spans="2:12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x14ac:dyDescent="0.3">
      <c r="B25" s="15"/>
      <c r="L25" s="16"/>
    </row>
    <row r="26" spans="2:12" x14ac:dyDescent="0.3">
      <c r="B26" s="15"/>
      <c r="C26" s="259" t="s">
        <v>235</v>
      </c>
      <c r="D26" s="259"/>
      <c r="F26" s="34"/>
      <c r="G26" s="9"/>
      <c r="H26" s="9"/>
      <c r="I26" s="8"/>
      <c r="L26" s="16"/>
    </row>
    <row r="27" spans="2:12" ht="3.9" customHeight="1" x14ac:dyDescent="0.3">
      <c r="B27" s="15"/>
      <c r="C27" s="10"/>
      <c r="D27" s="10"/>
      <c r="E27" s="10"/>
      <c r="F27" s="9"/>
      <c r="L27" s="16"/>
    </row>
    <row r="28" spans="2:12" x14ac:dyDescent="0.3">
      <c r="B28" s="15"/>
      <c r="C28" s="10"/>
      <c r="D28" s="33" t="s">
        <v>54</v>
      </c>
      <c r="F28" s="133" t="str">
        <f>IF(F26="","",IF('Dados do Aluno'!E8="Masculino",Apoio!V10,Apoio!V18))</f>
        <v/>
      </c>
      <c r="H28" s="5"/>
      <c r="L28" s="16"/>
    </row>
    <row r="29" spans="2:12" x14ac:dyDescent="0.3">
      <c r="B29" s="15"/>
      <c r="L29" s="16"/>
    </row>
    <row r="30" spans="2:12" x14ac:dyDescent="0.3">
      <c r="B30" s="17"/>
      <c r="C30" s="18"/>
      <c r="D30" s="18"/>
      <c r="E30" s="18"/>
      <c r="F30" s="132"/>
      <c r="G30" s="18"/>
      <c r="H30" s="18"/>
      <c r="I30" s="18"/>
      <c r="J30" s="18"/>
      <c r="K30" s="18"/>
      <c r="L30" s="19"/>
    </row>
    <row r="34" spans="6:10" x14ac:dyDescent="0.3">
      <c r="F34" s="11"/>
      <c r="J34" s="11" t="s">
        <v>60</v>
      </c>
    </row>
  </sheetData>
  <mergeCells count="7">
    <mergeCell ref="C7:D7"/>
    <mergeCell ref="C16:D16"/>
    <mergeCell ref="C26:D26"/>
    <mergeCell ref="B2:M2"/>
    <mergeCell ref="B4:H4"/>
    <mergeCell ref="B13:H13"/>
    <mergeCell ref="B23:H23"/>
  </mergeCells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34"/>
  <sheetViews>
    <sheetView showGridLines="0" workbookViewId="0">
      <selection activeCell="F7" sqref="F7"/>
    </sheetView>
  </sheetViews>
  <sheetFormatPr defaultRowHeight="14.4" x14ac:dyDescent="0.3"/>
  <cols>
    <col min="1" max="1" width="3.33203125" customWidth="1"/>
    <col min="2" max="2" width="1.109375" customWidth="1"/>
    <col min="4" max="4" width="17" customWidth="1"/>
    <col min="5" max="5" width="1.109375" customWidth="1"/>
    <col min="6" max="6" width="15.109375" bestFit="1" customWidth="1"/>
    <col min="8" max="8" width="21.44140625" customWidth="1"/>
    <col min="12" max="12" width="4.33203125" customWidth="1"/>
    <col min="13" max="13" width="0.21875" customWidth="1"/>
  </cols>
  <sheetData>
    <row r="1" spans="2:13" ht="36.6" customHeight="1" x14ac:dyDescent="0.3"/>
    <row r="2" spans="2:13" ht="25.8" x14ac:dyDescent="0.3">
      <c r="B2" s="258" t="s">
        <v>221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2:13" ht="4.8" customHeight="1" x14ac:dyDescent="0.3"/>
    <row r="4" spans="2:13" ht="21.6" thickBot="1" x14ac:dyDescent="0.45">
      <c r="B4" s="260" t="s">
        <v>214</v>
      </c>
      <c r="C4" s="260"/>
      <c r="D4" s="260"/>
      <c r="E4" s="260"/>
      <c r="F4" s="260"/>
      <c r="G4" s="260"/>
      <c r="H4" s="260"/>
      <c r="I4" s="4"/>
      <c r="J4" s="4"/>
      <c r="K4" s="4"/>
      <c r="L4" s="4"/>
    </row>
    <row r="5" spans="2:13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3" x14ac:dyDescent="0.3">
      <c r="B6" s="15"/>
      <c r="L6" s="16"/>
    </row>
    <row r="7" spans="2:13" ht="15" customHeight="1" x14ac:dyDescent="0.3">
      <c r="B7" s="15"/>
      <c r="C7" s="259" t="s">
        <v>55</v>
      </c>
      <c r="D7" s="259"/>
      <c r="F7" s="12"/>
      <c r="G7" s="9"/>
      <c r="H7" s="9"/>
      <c r="I7" s="8"/>
      <c r="L7" s="16"/>
    </row>
    <row r="8" spans="2:13" ht="3.9" customHeight="1" x14ac:dyDescent="0.3">
      <c r="B8" s="15"/>
      <c r="C8" s="10"/>
      <c r="D8" s="10"/>
      <c r="E8" s="10"/>
      <c r="F8" s="9"/>
      <c r="L8" s="16"/>
    </row>
    <row r="9" spans="2:13" ht="15" customHeight="1" x14ac:dyDescent="0.3">
      <c r="B9" s="15"/>
      <c r="C9" s="10"/>
      <c r="D9" s="33" t="s">
        <v>54</v>
      </c>
      <c r="F9" s="13" t="str">
        <f>IF(F7="","",IF('Dados do Aluno'!E8="Masculino",Apoio!Y42,Apoio!Y48))</f>
        <v/>
      </c>
      <c r="H9" s="5"/>
      <c r="L9" s="16"/>
    </row>
    <row r="10" spans="2:13" x14ac:dyDescent="0.3">
      <c r="B10" s="15"/>
      <c r="L10" s="16"/>
    </row>
    <row r="11" spans="2:13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3" spans="2:13" ht="21.6" thickBot="1" x14ac:dyDescent="0.45">
      <c r="B13" s="260" t="s">
        <v>215</v>
      </c>
      <c r="C13" s="260"/>
      <c r="D13" s="260"/>
      <c r="E13" s="260"/>
      <c r="F13" s="260"/>
      <c r="G13" s="260"/>
      <c r="H13" s="260"/>
    </row>
    <row r="14" spans="2:13" x14ac:dyDescent="0.3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3" x14ac:dyDescent="0.3">
      <c r="B15" s="15"/>
      <c r="L15" s="16"/>
    </row>
    <row r="16" spans="2:13" x14ac:dyDescent="0.3">
      <c r="B16" s="15"/>
      <c r="C16" s="259" t="s">
        <v>56</v>
      </c>
      <c r="D16" s="259"/>
      <c r="F16" s="12"/>
      <c r="G16" s="9"/>
      <c r="H16" s="9"/>
      <c r="I16" s="9"/>
      <c r="L16" s="16"/>
    </row>
    <row r="17" spans="2:12" ht="3.9" customHeight="1" x14ac:dyDescent="0.3">
      <c r="B17" s="15"/>
      <c r="C17" s="10"/>
      <c r="D17" s="10"/>
      <c r="E17" s="10"/>
      <c r="F17" s="9"/>
      <c r="G17" s="9"/>
      <c r="H17" s="9"/>
      <c r="I17" s="9"/>
      <c r="L17" s="16"/>
    </row>
    <row r="18" spans="2:12" x14ac:dyDescent="0.3">
      <c r="B18" s="15"/>
      <c r="C18" s="10"/>
      <c r="D18" s="33" t="s">
        <v>54</v>
      </c>
      <c r="F18" s="13" t="str">
        <f>IF(F16="","",IF('Dados do Aluno'!E8="Masculino",Apoio!Y27,Apoio!Y33))</f>
        <v/>
      </c>
      <c r="L18" s="16"/>
    </row>
    <row r="19" spans="2:12" x14ac:dyDescent="0.3">
      <c r="B19" s="15"/>
      <c r="H19" s="5"/>
      <c r="I19" s="10"/>
      <c r="L19" s="16"/>
    </row>
    <row r="20" spans="2:12" x14ac:dyDescent="0.3">
      <c r="B20" s="15"/>
      <c r="L20" s="16"/>
    </row>
    <row r="21" spans="2:12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3" spans="2:12" ht="21.6" thickBot="1" x14ac:dyDescent="0.45">
      <c r="B23" s="260" t="s">
        <v>50</v>
      </c>
      <c r="C23" s="260"/>
      <c r="D23" s="260"/>
      <c r="E23" s="260"/>
      <c r="F23" s="260"/>
      <c r="G23" s="260"/>
      <c r="H23" s="260"/>
      <c r="I23" s="4"/>
      <c r="J23" s="4"/>
      <c r="K23" s="4"/>
      <c r="L23" s="4"/>
    </row>
    <row r="24" spans="2:12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x14ac:dyDescent="0.3">
      <c r="B25" s="15"/>
      <c r="L25" s="16"/>
    </row>
    <row r="26" spans="2:12" x14ac:dyDescent="0.3">
      <c r="B26" s="15"/>
      <c r="C26" s="259" t="s">
        <v>235</v>
      </c>
      <c r="D26" s="259"/>
      <c r="F26" s="34"/>
      <c r="G26" s="9"/>
      <c r="H26" s="9"/>
      <c r="I26" s="8"/>
      <c r="L26" s="16"/>
    </row>
    <row r="27" spans="2:12" ht="3.9" customHeight="1" x14ac:dyDescent="0.3">
      <c r="B27" s="15"/>
      <c r="C27" s="10"/>
      <c r="D27" s="10"/>
      <c r="E27" s="10"/>
      <c r="F27" s="9"/>
      <c r="L27" s="16"/>
    </row>
    <row r="28" spans="2:12" x14ac:dyDescent="0.3">
      <c r="B28" s="15"/>
      <c r="C28" s="10"/>
      <c r="D28" s="33" t="s">
        <v>54</v>
      </c>
      <c r="F28" s="13" t="str">
        <f>IF(F26="","",IF('Dados do Aluno'!E8="Masculino",Apoio!Y10,Apoio!Y18))</f>
        <v/>
      </c>
      <c r="H28" s="5"/>
      <c r="L28" s="16"/>
    </row>
    <row r="29" spans="2:12" x14ac:dyDescent="0.3">
      <c r="B29" s="15"/>
      <c r="L29" s="16"/>
    </row>
    <row r="30" spans="2:12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4" spans="10:10" x14ac:dyDescent="0.3">
      <c r="J34" s="11" t="s">
        <v>60</v>
      </c>
    </row>
  </sheetData>
  <mergeCells count="7">
    <mergeCell ref="C7:D7"/>
    <mergeCell ref="C16:D16"/>
    <mergeCell ref="C26:D26"/>
    <mergeCell ref="B2:M2"/>
    <mergeCell ref="B4:H4"/>
    <mergeCell ref="B13:H13"/>
    <mergeCell ref="B23:H23"/>
  </mergeCells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6">
    <pageSetUpPr fitToPage="1"/>
  </sheetPr>
  <dimension ref="B2:O28"/>
  <sheetViews>
    <sheetView showGridLines="0" zoomScaleNormal="100" workbookViewId="0">
      <selection activeCell="N28" sqref="N28:O28"/>
    </sheetView>
  </sheetViews>
  <sheetFormatPr defaultRowHeight="57" customHeight="1" x14ac:dyDescent="0.3"/>
  <cols>
    <col min="1" max="1" width="3.33203125" customWidth="1"/>
    <col min="2" max="2" width="35.6640625" customWidth="1"/>
    <col min="14" max="14" width="10.109375" customWidth="1"/>
    <col min="15" max="15" width="9.109375" style="116"/>
  </cols>
  <sheetData>
    <row r="2" spans="2:15" ht="25.8" x14ac:dyDescent="0.3">
      <c r="B2" s="258" t="s">
        <v>216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2:15" ht="6" customHeight="1" x14ac:dyDescent="0.3"/>
    <row r="4" spans="2:15" ht="28.5" customHeight="1" thickBot="1" x14ac:dyDescent="0.35">
      <c r="B4" s="162"/>
      <c r="C4" s="261">
        <v>1</v>
      </c>
      <c r="D4" s="261"/>
      <c r="E4" s="261"/>
      <c r="F4" s="261">
        <v>2</v>
      </c>
      <c r="G4" s="261"/>
      <c r="H4" s="261"/>
      <c r="I4" s="261">
        <v>3</v>
      </c>
      <c r="J4" s="261"/>
      <c r="K4" s="261"/>
      <c r="L4" s="261">
        <v>4</v>
      </c>
      <c r="M4" s="261"/>
      <c r="N4" s="261"/>
      <c r="O4" s="54" t="s">
        <v>54</v>
      </c>
    </row>
    <row r="5" spans="2:15" ht="57" customHeight="1" thickBot="1" x14ac:dyDescent="0.35">
      <c r="B5" s="29" t="s">
        <v>31</v>
      </c>
      <c r="O5" s="120"/>
    </row>
    <row r="6" spans="2:15" ht="57" customHeight="1" thickBot="1" x14ac:dyDescent="0.35">
      <c r="B6" s="29" t="s">
        <v>32</v>
      </c>
      <c r="O6" s="120"/>
    </row>
    <row r="7" spans="2:15" ht="123.75" customHeight="1" thickBot="1" x14ac:dyDescent="0.35">
      <c r="B7" s="29" t="s">
        <v>33</v>
      </c>
      <c r="O7" s="120"/>
    </row>
    <row r="8" spans="2:15" ht="190.5" customHeight="1" thickBot="1" x14ac:dyDescent="0.35">
      <c r="B8" s="29" t="s">
        <v>71</v>
      </c>
      <c r="O8" s="120"/>
    </row>
    <row r="9" spans="2:15" ht="57" customHeight="1" thickBot="1" x14ac:dyDescent="0.35">
      <c r="B9" s="29" t="s">
        <v>34</v>
      </c>
      <c r="O9" s="120"/>
    </row>
    <row r="10" spans="2:15" ht="57" customHeight="1" thickBot="1" x14ac:dyDescent="0.35">
      <c r="B10" s="29" t="s">
        <v>35</v>
      </c>
      <c r="O10" s="120"/>
    </row>
    <row r="11" spans="2:15" ht="57" customHeight="1" thickBot="1" x14ac:dyDescent="0.35">
      <c r="B11" s="29" t="s">
        <v>36</v>
      </c>
      <c r="O11" s="120"/>
    </row>
    <row r="12" spans="2:15" ht="174" customHeight="1" thickBot="1" x14ac:dyDescent="0.35">
      <c r="B12" s="29" t="s">
        <v>37</v>
      </c>
      <c r="O12" s="120"/>
    </row>
    <row r="13" spans="2:15" ht="71.25" customHeight="1" thickBot="1" x14ac:dyDescent="0.35">
      <c r="B13" s="29" t="s">
        <v>38</v>
      </c>
      <c r="O13" s="120"/>
    </row>
    <row r="14" spans="2:15" ht="102.75" customHeight="1" thickBot="1" x14ac:dyDescent="0.35">
      <c r="B14" s="29" t="s">
        <v>57</v>
      </c>
      <c r="O14" s="120"/>
    </row>
    <row r="15" spans="2:15" ht="136.5" customHeight="1" thickBot="1" x14ac:dyDescent="0.35">
      <c r="B15" s="29" t="s">
        <v>39</v>
      </c>
      <c r="O15" s="120"/>
    </row>
    <row r="16" spans="2:15" ht="66.75" customHeight="1" thickBot="1" x14ac:dyDescent="0.35">
      <c r="B16" s="29" t="s">
        <v>40</v>
      </c>
      <c r="O16" s="120"/>
    </row>
    <row r="17" spans="2:15" ht="74.25" customHeight="1" thickBot="1" x14ac:dyDescent="0.35">
      <c r="B17" s="29" t="s">
        <v>41</v>
      </c>
      <c r="O17" s="120"/>
    </row>
    <row r="18" spans="2:15" ht="120" customHeight="1" thickBot="1" x14ac:dyDescent="0.35">
      <c r="B18" s="29" t="s">
        <v>42</v>
      </c>
      <c r="O18" s="120"/>
    </row>
    <row r="19" spans="2:15" ht="61.5" customHeight="1" thickBot="1" x14ac:dyDescent="0.35">
      <c r="B19" s="29" t="s">
        <v>43</v>
      </c>
      <c r="O19" s="120"/>
    </row>
    <row r="20" spans="2:15" ht="150" customHeight="1" thickBot="1" x14ac:dyDescent="0.35">
      <c r="B20" s="30" t="s">
        <v>44</v>
      </c>
      <c r="O20" s="120"/>
    </row>
    <row r="21" spans="2:15" ht="104.25" customHeight="1" thickBot="1" x14ac:dyDescent="0.35">
      <c r="B21" s="30" t="s">
        <v>45</v>
      </c>
      <c r="O21" s="120"/>
    </row>
    <row r="22" spans="2:15" ht="88.5" customHeight="1" thickBot="1" x14ac:dyDescent="0.35">
      <c r="B22" s="29" t="s">
        <v>46</v>
      </c>
      <c r="O22" s="120"/>
    </row>
    <row r="23" spans="2:15" ht="57" customHeight="1" thickBot="1" x14ac:dyDescent="0.35">
      <c r="B23" s="30" t="s">
        <v>47</v>
      </c>
      <c r="O23" s="120"/>
    </row>
    <row r="24" spans="2:15" ht="57" customHeight="1" thickBot="1" x14ac:dyDescent="0.35">
      <c r="B24" s="30" t="s">
        <v>48</v>
      </c>
      <c r="O24" s="120"/>
    </row>
    <row r="25" spans="2:15" ht="9" customHeight="1" x14ac:dyDescent="0.3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23.4" x14ac:dyDescent="0.3">
      <c r="L26" s="264" t="s">
        <v>49</v>
      </c>
      <c r="M26" s="264"/>
      <c r="N26" s="264"/>
      <c r="O26" s="117">
        <f>SUM(O5:O24)</f>
        <v>0</v>
      </c>
    </row>
    <row r="27" spans="2:15" ht="16.5" customHeight="1" x14ac:dyDescent="0.3"/>
    <row r="28" spans="2:15" ht="23.4" x14ac:dyDescent="0.3">
      <c r="G28" s="142"/>
      <c r="H28" s="181" t="s">
        <v>189</v>
      </c>
      <c r="I28" s="181"/>
      <c r="J28" s="181"/>
      <c r="K28" s="181"/>
      <c r="L28" s="181"/>
      <c r="M28" s="181"/>
      <c r="N28" s="262" t="str">
        <f>IF(O26&gt;0,VLOOKUP(O26,Apoio!$A$54:$B$59,2,TRUE),"")</f>
        <v/>
      </c>
      <c r="O28" s="263"/>
    </row>
  </sheetData>
  <mergeCells count="8">
    <mergeCell ref="B2:O2"/>
    <mergeCell ref="H28:M28"/>
    <mergeCell ref="C4:E4"/>
    <mergeCell ref="F4:H4"/>
    <mergeCell ref="I4:K4"/>
    <mergeCell ref="L4:N4"/>
    <mergeCell ref="N28:O28"/>
    <mergeCell ref="L26:N26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B8865-3C1C-4AC3-9951-0044A1B96B71}">
  <dimension ref="A1:W58"/>
  <sheetViews>
    <sheetView showGridLines="0" workbookViewId="0">
      <selection sqref="A1:W1"/>
    </sheetView>
  </sheetViews>
  <sheetFormatPr defaultRowHeight="14.4" x14ac:dyDescent="0.3"/>
  <cols>
    <col min="1" max="1" width="3.21875" bestFit="1" customWidth="1"/>
  </cols>
  <sheetData>
    <row r="1" spans="1:23" ht="30" customHeight="1" x14ac:dyDescent="0.3">
      <c r="A1" s="181" t="s">
        <v>196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23" ht="4.2" customHeight="1" thickBot="1" x14ac:dyDescent="0.3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</row>
    <row r="3" spans="1:23" x14ac:dyDescent="0.3">
      <c r="A3" s="177">
        <v>1</v>
      </c>
      <c r="B3" s="183" t="s">
        <v>233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5"/>
    </row>
    <row r="4" spans="1:23" x14ac:dyDescent="0.3">
      <c r="A4" s="182"/>
      <c r="B4" s="186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8"/>
    </row>
    <row r="5" spans="1:23" ht="15" thickBot="1" x14ac:dyDescent="0.35">
      <c r="A5" s="178"/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1"/>
    </row>
    <row r="6" spans="1:23" ht="3.6" customHeight="1" thickBot="1" x14ac:dyDescent="0.3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</row>
    <row r="7" spans="1:23" x14ac:dyDescent="0.3">
      <c r="A7" s="192">
        <v>2</v>
      </c>
      <c r="B7" s="184" t="s">
        <v>197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5"/>
    </row>
    <row r="8" spans="1:23" x14ac:dyDescent="0.3">
      <c r="A8" s="193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8"/>
    </row>
    <row r="9" spans="1:23" ht="27.6" customHeight="1" thickBot="1" x14ac:dyDescent="0.35">
      <c r="A9" s="194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1"/>
    </row>
    <row r="10" spans="1:23" ht="3.6" customHeight="1" thickBot="1" x14ac:dyDescent="0.3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</row>
    <row r="11" spans="1:23" x14ac:dyDescent="0.3">
      <c r="A11" s="177">
        <v>3</v>
      </c>
      <c r="B11" s="179" t="s">
        <v>198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</row>
    <row r="12" spans="1:23" ht="24" customHeight="1" thickBot="1" x14ac:dyDescent="0.35">
      <c r="A12" s="178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</row>
    <row r="13" spans="1:23" ht="3.6" customHeight="1" thickBot="1" x14ac:dyDescent="0.3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</row>
    <row r="14" spans="1:23" ht="35.4" customHeight="1" x14ac:dyDescent="0.3">
      <c r="A14" s="177">
        <v>4</v>
      </c>
      <c r="B14" s="195" t="s">
        <v>213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6"/>
    </row>
    <row r="15" spans="1:23" ht="21" customHeight="1" thickBot="1" x14ac:dyDescent="0.35">
      <c r="A15" s="178"/>
      <c r="B15" s="197" t="s">
        <v>199</v>
      </c>
      <c r="C15" s="197"/>
      <c r="D15" s="197"/>
      <c r="E15" s="197"/>
      <c r="F15" s="19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8"/>
    </row>
    <row r="16" spans="1:23" ht="3.6" customHeight="1" thickBot="1" x14ac:dyDescent="0.3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</row>
    <row r="17" spans="1:23" x14ac:dyDescent="0.3">
      <c r="A17" s="177">
        <v>5</v>
      </c>
      <c r="B17" s="184" t="s">
        <v>200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5"/>
    </row>
    <row r="18" spans="1:23" x14ac:dyDescent="0.3">
      <c r="A18" s="182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8"/>
    </row>
    <row r="19" spans="1:23" ht="15" customHeight="1" x14ac:dyDescent="0.3">
      <c r="A19" s="182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8"/>
    </row>
    <row r="20" spans="1:23" ht="9.6" customHeight="1" x14ac:dyDescent="0.3">
      <c r="A20" s="182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50"/>
    </row>
    <row r="21" spans="1:23" ht="15.6" x14ac:dyDescent="0.3">
      <c r="A21" s="182"/>
      <c r="B21" s="198" t="s">
        <v>201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50"/>
    </row>
    <row r="22" spans="1:23" ht="15.6" x14ac:dyDescent="0.3">
      <c r="A22" s="182"/>
      <c r="B22" s="198" t="s">
        <v>202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50"/>
    </row>
    <row r="23" spans="1:23" ht="18.600000000000001" customHeight="1" x14ac:dyDescent="0.3">
      <c r="A23" s="182"/>
      <c r="B23" s="198" t="s">
        <v>203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50"/>
    </row>
    <row r="24" spans="1:23" ht="40.200000000000003" customHeight="1" thickBot="1" x14ac:dyDescent="0.35">
      <c r="A24" s="178"/>
      <c r="B24" s="199" t="s">
        <v>238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1"/>
    </row>
    <row r="25" spans="1:23" ht="3.6" customHeight="1" thickBot="1" x14ac:dyDescent="0.3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</row>
    <row r="26" spans="1:23" x14ac:dyDescent="0.3">
      <c r="A26" s="177">
        <v>6</v>
      </c>
      <c r="B26" s="179" t="s">
        <v>204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</row>
    <row r="27" spans="1:23" x14ac:dyDescent="0.3">
      <c r="A27" s="182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</row>
    <row r="28" spans="1:23" ht="25.2" customHeight="1" thickBot="1" x14ac:dyDescent="0.35">
      <c r="A28" s="178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23" ht="3.6" customHeight="1" thickBot="1" x14ac:dyDescent="0.35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</row>
    <row r="30" spans="1:23" x14ac:dyDescent="0.3">
      <c r="A30" s="177">
        <v>7</v>
      </c>
      <c r="B30" s="179" t="s">
        <v>205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</row>
    <row r="31" spans="1:23" ht="19.2" customHeight="1" thickBot="1" x14ac:dyDescent="0.35">
      <c r="A31" s="178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</row>
    <row r="32" spans="1:23" ht="3.6" customHeight="1" thickBot="1" x14ac:dyDescent="0.3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</row>
    <row r="33" spans="1:23" x14ac:dyDescent="0.3">
      <c r="A33" s="177">
        <v>8</v>
      </c>
      <c r="B33" s="179" t="s">
        <v>206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</row>
    <row r="34" spans="1:23" x14ac:dyDescent="0.3">
      <c r="A34" s="182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</row>
    <row r="35" spans="1:23" x14ac:dyDescent="0.3">
      <c r="A35" s="18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</row>
    <row r="36" spans="1:23" x14ac:dyDescent="0.3">
      <c r="A36" s="18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</row>
    <row r="37" spans="1:23" ht="25.8" customHeight="1" thickBot="1" x14ac:dyDescent="0.35">
      <c r="A37" s="178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</row>
    <row r="38" spans="1:23" ht="3.6" customHeight="1" thickBot="1" x14ac:dyDescent="0.3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</row>
    <row r="39" spans="1:23" x14ac:dyDescent="0.3">
      <c r="A39" s="177">
        <v>9</v>
      </c>
      <c r="B39" s="179" t="s">
        <v>236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</row>
    <row r="40" spans="1:23" ht="55.8" customHeight="1" thickBot="1" x14ac:dyDescent="0.35">
      <c r="A40" s="178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</row>
    <row r="41" spans="1:23" ht="3.6" customHeight="1" x14ac:dyDescent="0.3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</row>
    <row r="42" spans="1:23" ht="23.4" x14ac:dyDescent="0.3">
      <c r="A42" s="181" t="s">
        <v>207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</row>
    <row r="43" spans="1:23" ht="3.6" customHeight="1" thickBot="1" x14ac:dyDescent="0.35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</row>
    <row r="44" spans="1:23" ht="18.600000000000001" customHeight="1" thickBot="1" x14ac:dyDescent="0.35">
      <c r="A44" s="151">
        <v>10</v>
      </c>
      <c r="B44" s="206" t="s">
        <v>237</v>
      </c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</row>
    <row r="45" spans="1:23" ht="3.6" customHeight="1" thickBot="1" x14ac:dyDescent="0.35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</row>
    <row r="46" spans="1:23" ht="20.399999999999999" customHeight="1" thickBot="1" x14ac:dyDescent="0.35">
      <c r="A46" s="151">
        <v>11</v>
      </c>
      <c r="B46" s="206" t="s">
        <v>208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</row>
    <row r="47" spans="1:23" ht="3.6" customHeight="1" thickBot="1" x14ac:dyDescent="0.35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</row>
    <row r="48" spans="1:23" x14ac:dyDescent="0.3">
      <c r="A48" s="177">
        <v>12</v>
      </c>
      <c r="B48" s="179" t="s">
        <v>209</v>
      </c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</row>
    <row r="49" spans="1:23" x14ac:dyDescent="0.3">
      <c r="A49" s="18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</row>
    <row r="50" spans="1:23" ht="15" thickBot="1" x14ac:dyDescent="0.35">
      <c r="A50" s="178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</row>
    <row r="51" spans="1:23" ht="3.6" customHeight="1" thickBot="1" x14ac:dyDescent="0.3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</row>
    <row r="52" spans="1:23" x14ac:dyDescent="0.3">
      <c r="A52" s="177">
        <v>13</v>
      </c>
      <c r="B52" s="179" t="s">
        <v>210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</row>
    <row r="53" spans="1:23" ht="24.6" customHeight="1" thickBot="1" x14ac:dyDescent="0.35">
      <c r="A53" s="178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</row>
    <row r="54" spans="1:23" ht="3.6" customHeight="1" thickBot="1" x14ac:dyDescent="0.35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</row>
    <row r="55" spans="1:23" x14ac:dyDescent="0.3">
      <c r="A55" s="177">
        <v>14</v>
      </c>
      <c r="B55" s="179" t="s">
        <v>211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</row>
    <row r="56" spans="1:23" ht="24.6" customHeight="1" thickBot="1" x14ac:dyDescent="0.35">
      <c r="A56" s="178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</row>
    <row r="57" spans="1:23" ht="3.6" customHeight="1" thickBot="1" x14ac:dyDescent="0.35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</row>
    <row r="58" spans="1:23" ht="16.8" customHeight="1" thickBot="1" x14ac:dyDescent="0.35">
      <c r="A58" s="151">
        <v>15</v>
      </c>
      <c r="B58" s="206" t="s">
        <v>212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</row>
  </sheetData>
  <mergeCells count="34">
    <mergeCell ref="A52:A53"/>
    <mergeCell ref="B52:W53"/>
    <mergeCell ref="A55:A56"/>
    <mergeCell ref="B55:W56"/>
    <mergeCell ref="B58:W58"/>
    <mergeCell ref="A48:A50"/>
    <mergeCell ref="B48:W50"/>
    <mergeCell ref="A26:A28"/>
    <mergeCell ref="B26:W28"/>
    <mergeCell ref="A30:A31"/>
    <mergeCell ref="B30:W31"/>
    <mergeCell ref="A33:A37"/>
    <mergeCell ref="B33:W37"/>
    <mergeCell ref="A39:A40"/>
    <mergeCell ref="B39:W40"/>
    <mergeCell ref="A42:W42"/>
    <mergeCell ref="B44:W44"/>
    <mergeCell ref="B46:W46"/>
    <mergeCell ref="A14:A15"/>
    <mergeCell ref="B14:W14"/>
    <mergeCell ref="B15:F15"/>
    <mergeCell ref="A17:A24"/>
    <mergeCell ref="B17:W19"/>
    <mergeCell ref="B21:V21"/>
    <mergeCell ref="B22:V22"/>
    <mergeCell ref="B23:V23"/>
    <mergeCell ref="B24:W24"/>
    <mergeCell ref="A11:A12"/>
    <mergeCell ref="B11:W12"/>
    <mergeCell ref="A1:W1"/>
    <mergeCell ref="A3:A5"/>
    <mergeCell ref="B3:W5"/>
    <mergeCell ref="A7:A9"/>
    <mergeCell ref="B7:W9"/>
  </mergeCells>
  <hyperlinks>
    <hyperlink ref="B15:F15" r:id="rId1" display="https://youtu.be/5Vs0blN7x7w" xr:uid="{2364A986-6ADE-4ECA-85F8-90C020B8914C}"/>
  </hyperlinks>
  <pageMargins left="0.511811024" right="0.511811024" top="0.78740157499999996" bottom="0.78740157499999996" header="0.31496062000000002" footer="0.31496062000000002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O28"/>
  <sheetViews>
    <sheetView showGridLines="0" zoomScaleNormal="100" workbookViewId="0">
      <selection activeCell="O5" sqref="O5"/>
    </sheetView>
  </sheetViews>
  <sheetFormatPr defaultRowHeight="57" customHeight="1" x14ac:dyDescent="0.3"/>
  <cols>
    <col min="1" max="1" width="3.33203125" customWidth="1"/>
    <col min="2" max="2" width="35.6640625" customWidth="1"/>
    <col min="14" max="14" width="10.109375" customWidth="1"/>
    <col min="15" max="15" width="9.109375" style="118"/>
  </cols>
  <sheetData>
    <row r="2" spans="2:15" ht="25.8" x14ac:dyDescent="0.3">
      <c r="B2" s="258" t="s">
        <v>217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2:15" ht="6" customHeight="1" x14ac:dyDescent="0.3"/>
    <row r="4" spans="2:15" ht="28.5" customHeight="1" thickBot="1" x14ac:dyDescent="0.35">
      <c r="B4" s="162"/>
      <c r="C4" s="261">
        <v>1</v>
      </c>
      <c r="D4" s="261"/>
      <c r="E4" s="261"/>
      <c r="F4" s="261">
        <v>2</v>
      </c>
      <c r="G4" s="261"/>
      <c r="H4" s="261"/>
      <c r="I4" s="261">
        <v>3</v>
      </c>
      <c r="J4" s="261"/>
      <c r="K4" s="261"/>
      <c r="L4" s="261">
        <v>4</v>
      </c>
      <c r="M4" s="261"/>
      <c r="N4" s="261"/>
      <c r="O4" s="54" t="s">
        <v>54</v>
      </c>
    </row>
    <row r="5" spans="2:15" ht="57" customHeight="1" thickBot="1" x14ac:dyDescent="0.35">
      <c r="B5" s="29" t="s">
        <v>31</v>
      </c>
      <c r="O5" s="120"/>
    </row>
    <row r="6" spans="2:15" ht="57" customHeight="1" thickBot="1" x14ac:dyDescent="0.35">
      <c r="B6" s="29" t="s">
        <v>32</v>
      </c>
      <c r="O6" s="120"/>
    </row>
    <row r="7" spans="2:15" ht="123.75" customHeight="1" thickBot="1" x14ac:dyDescent="0.35">
      <c r="B7" s="29" t="s">
        <v>33</v>
      </c>
      <c r="O7" s="120"/>
    </row>
    <row r="8" spans="2:15" ht="190.5" customHeight="1" thickBot="1" x14ac:dyDescent="0.35">
      <c r="B8" s="29" t="s">
        <v>71</v>
      </c>
      <c r="O8" s="120"/>
    </row>
    <row r="9" spans="2:15" ht="57" customHeight="1" thickBot="1" x14ac:dyDescent="0.35">
      <c r="B9" s="29" t="s">
        <v>34</v>
      </c>
      <c r="O9" s="120"/>
    </row>
    <row r="10" spans="2:15" ht="57" customHeight="1" thickBot="1" x14ac:dyDescent="0.35">
      <c r="B10" s="29" t="s">
        <v>35</v>
      </c>
      <c r="O10" s="120"/>
    </row>
    <row r="11" spans="2:15" ht="57" customHeight="1" thickBot="1" x14ac:dyDescent="0.35">
      <c r="B11" s="29" t="s">
        <v>36</v>
      </c>
      <c r="O11" s="120"/>
    </row>
    <row r="12" spans="2:15" ht="174" customHeight="1" thickBot="1" x14ac:dyDescent="0.35">
      <c r="B12" s="29" t="s">
        <v>37</v>
      </c>
      <c r="O12" s="120"/>
    </row>
    <row r="13" spans="2:15" ht="71.25" customHeight="1" thickBot="1" x14ac:dyDescent="0.35">
      <c r="B13" s="29" t="s">
        <v>38</v>
      </c>
      <c r="O13" s="120"/>
    </row>
    <row r="14" spans="2:15" ht="102.75" customHeight="1" thickBot="1" x14ac:dyDescent="0.35">
      <c r="B14" s="29" t="s">
        <v>57</v>
      </c>
      <c r="O14" s="120"/>
    </row>
    <row r="15" spans="2:15" ht="136.5" customHeight="1" thickBot="1" x14ac:dyDescent="0.35">
      <c r="B15" s="29" t="s">
        <v>39</v>
      </c>
      <c r="O15" s="120"/>
    </row>
    <row r="16" spans="2:15" ht="66.75" customHeight="1" thickBot="1" x14ac:dyDescent="0.35">
      <c r="B16" s="29" t="s">
        <v>40</v>
      </c>
      <c r="O16" s="120"/>
    </row>
    <row r="17" spans="2:15" ht="74.25" customHeight="1" thickBot="1" x14ac:dyDescent="0.35">
      <c r="B17" s="29" t="s">
        <v>41</v>
      </c>
      <c r="O17" s="120"/>
    </row>
    <row r="18" spans="2:15" ht="120" customHeight="1" thickBot="1" x14ac:dyDescent="0.35">
      <c r="B18" s="29" t="s">
        <v>42</v>
      </c>
      <c r="O18" s="120"/>
    </row>
    <row r="19" spans="2:15" ht="61.5" customHeight="1" thickBot="1" x14ac:dyDescent="0.35">
      <c r="B19" s="29" t="s">
        <v>43</v>
      </c>
      <c r="O19" s="120"/>
    </row>
    <row r="20" spans="2:15" ht="150" customHeight="1" thickBot="1" x14ac:dyDescent="0.35">
      <c r="B20" s="30" t="s">
        <v>44</v>
      </c>
      <c r="O20" s="120"/>
    </row>
    <row r="21" spans="2:15" ht="104.25" customHeight="1" thickBot="1" x14ac:dyDescent="0.35">
      <c r="B21" s="30" t="s">
        <v>45</v>
      </c>
      <c r="O21" s="120"/>
    </row>
    <row r="22" spans="2:15" ht="88.5" customHeight="1" thickBot="1" x14ac:dyDescent="0.35">
      <c r="B22" s="29" t="s">
        <v>46</v>
      </c>
      <c r="O22" s="120"/>
    </row>
    <row r="23" spans="2:15" ht="57" customHeight="1" thickBot="1" x14ac:dyDescent="0.35">
      <c r="B23" s="30" t="s">
        <v>47</v>
      </c>
      <c r="O23" s="120"/>
    </row>
    <row r="24" spans="2:15" ht="57" customHeight="1" thickBot="1" x14ac:dyDescent="0.35">
      <c r="B24" s="30" t="s">
        <v>48</v>
      </c>
      <c r="O24" s="120"/>
    </row>
    <row r="25" spans="2:15" ht="9" customHeight="1" x14ac:dyDescent="0.3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23.4" x14ac:dyDescent="0.3">
      <c r="J26" s="265"/>
      <c r="K26" s="265"/>
      <c r="L26" s="264" t="s">
        <v>49</v>
      </c>
      <c r="M26" s="264"/>
      <c r="N26" s="264"/>
      <c r="O26" s="119">
        <f>SUM(O5:O24)</f>
        <v>0</v>
      </c>
    </row>
    <row r="27" spans="2:15" ht="14.25" customHeight="1" x14ac:dyDescent="0.3"/>
    <row r="28" spans="2:15" ht="23.4" x14ac:dyDescent="0.3">
      <c r="H28" s="181" t="s">
        <v>189</v>
      </c>
      <c r="I28" s="181"/>
      <c r="J28" s="181"/>
      <c r="K28" s="181"/>
      <c r="L28" s="181"/>
      <c r="M28" s="181"/>
      <c r="N28" s="262" t="str">
        <f>IF(O26&gt;0,VLOOKUP(O26,Apoio!$A$54:$B$59,2,TRUE),"")</f>
        <v/>
      </c>
      <c r="O28" s="263"/>
    </row>
  </sheetData>
  <mergeCells count="9">
    <mergeCell ref="B2:O2"/>
    <mergeCell ref="H28:M28"/>
    <mergeCell ref="N28:O28"/>
    <mergeCell ref="C4:E4"/>
    <mergeCell ref="F4:H4"/>
    <mergeCell ref="I4:K4"/>
    <mergeCell ref="L4:N4"/>
    <mergeCell ref="J26:K26"/>
    <mergeCell ref="L26:N26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O29"/>
  <sheetViews>
    <sheetView showGridLines="0" zoomScaleNormal="100" workbookViewId="0"/>
  </sheetViews>
  <sheetFormatPr defaultRowHeight="57" customHeight="1" x14ac:dyDescent="0.3"/>
  <cols>
    <col min="1" max="1" width="3.33203125" customWidth="1"/>
    <col min="2" max="2" width="35.6640625" customWidth="1"/>
    <col min="14" max="14" width="10.109375" customWidth="1"/>
  </cols>
  <sheetData>
    <row r="2" spans="2:15" ht="25.8" x14ac:dyDescent="0.3">
      <c r="B2" s="258" t="s">
        <v>218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2:15" ht="6" customHeight="1" x14ac:dyDescent="0.3"/>
    <row r="4" spans="2:15" ht="28.5" customHeight="1" thickBot="1" x14ac:dyDescent="0.35">
      <c r="B4" s="162"/>
      <c r="C4" s="261">
        <v>1</v>
      </c>
      <c r="D4" s="261"/>
      <c r="E4" s="261"/>
      <c r="F4" s="261">
        <v>2</v>
      </c>
      <c r="G4" s="261"/>
      <c r="H4" s="261"/>
      <c r="I4" s="261">
        <v>3</v>
      </c>
      <c r="J4" s="261"/>
      <c r="K4" s="261"/>
      <c r="L4" s="261">
        <v>4</v>
      </c>
      <c r="M4" s="261"/>
      <c r="N4" s="261"/>
      <c r="O4" s="54" t="s">
        <v>54</v>
      </c>
    </row>
    <row r="5" spans="2:15" ht="57" customHeight="1" thickBot="1" x14ac:dyDescent="0.35">
      <c r="B5" s="29" t="s">
        <v>31</v>
      </c>
      <c r="O5" s="120"/>
    </row>
    <row r="6" spans="2:15" ht="57" customHeight="1" thickBot="1" x14ac:dyDescent="0.35">
      <c r="B6" s="29" t="s">
        <v>32</v>
      </c>
      <c r="O6" s="120"/>
    </row>
    <row r="7" spans="2:15" ht="123.75" customHeight="1" thickBot="1" x14ac:dyDescent="0.35">
      <c r="B7" s="29" t="s">
        <v>33</v>
      </c>
      <c r="O7" s="120"/>
    </row>
    <row r="8" spans="2:15" ht="190.5" customHeight="1" thickBot="1" x14ac:dyDescent="0.35">
      <c r="B8" s="29" t="s">
        <v>71</v>
      </c>
      <c r="O8" s="120"/>
    </row>
    <row r="9" spans="2:15" ht="57" customHeight="1" thickBot="1" x14ac:dyDescent="0.35">
      <c r="B9" s="29" t="s">
        <v>34</v>
      </c>
      <c r="O9" s="120"/>
    </row>
    <row r="10" spans="2:15" ht="57" customHeight="1" thickBot="1" x14ac:dyDescent="0.35">
      <c r="B10" s="29" t="s">
        <v>35</v>
      </c>
      <c r="O10" s="120"/>
    </row>
    <row r="11" spans="2:15" ht="57" customHeight="1" thickBot="1" x14ac:dyDescent="0.35">
      <c r="B11" s="29" t="s">
        <v>36</v>
      </c>
      <c r="O11" s="120"/>
    </row>
    <row r="12" spans="2:15" ht="174" customHeight="1" thickBot="1" x14ac:dyDescent="0.35">
      <c r="B12" s="29" t="s">
        <v>37</v>
      </c>
      <c r="O12" s="120"/>
    </row>
    <row r="13" spans="2:15" ht="71.25" customHeight="1" thickBot="1" x14ac:dyDescent="0.35">
      <c r="B13" s="29" t="s">
        <v>38</v>
      </c>
      <c r="O13" s="120"/>
    </row>
    <row r="14" spans="2:15" ht="102.75" customHeight="1" thickBot="1" x14ac:dyDescent="0.35">
      <c r="B14" s="29" t="s">
        <v>57</v>
      </c>
      <c r="O14" s="120"/>
    </row>
    <row r="15" spans="2:15" ht="136.5" customHeight="1" thickBot="1" x14ac:dyDescent="0.35">
      <c r="B15" s="29" t="s">
        <v>39</v>
      </c>
      <c r="O15" s="120"/>
    </row>
    <row r="16" spans="2:15" ht="66.75" customHeight="1" thickBot="1" x14ac:dyDescent="0.35">
      <c r="B16" s="29" t="s">
        <v>40</v>
      </c>
      <c r="O16" s="120"/>
    </row>
    <row r="17" spans="2:15" ht="74.25" customHeight="1" thickBot="1" x14ac:dyDescent="0.35">
      <c r="B17" s="29" t="s">
        <v>41</v>
      </c>
      <c r="O17" s="120"/>
    </row>
    <row r="18" spans="2:15" ht="120" customHeight="1" thickBot="1" x14ac:dyDescent="0.35">
      <c r="B18" s="29" t="s">
        <v>42</v>
      </c>
      <c r="O18" s="120"/>
    </row>
    <row r="19" spans="2:15" ht="61.5" customHeight="1" thickBot="1" x14ac:dyDescent="0.35">
      <c r="B19" s="29" t="s">
        <v>43</v>
      </c>
      <c r="O19" s="120"/>
    </row>
    <row r="20" spans="2:15" ht="150" customHeight="1" thickBot="1" x14ac:dyDescent="0.35">
      <c r="B20" s="30" t="s">
        <v>44</v>
      </c>
      <c r="O20" s="120"/>
    </row>
    <row r="21" spans="2:15" ht="104.25" customHeight="1" thickBot="1" x14ac:dyDescent="0.35">
      <c r="B21" s="30" t="s">
        <v>45</v>
      </c>
      <c r="O21" s="120"/>
    </row>
    <row r="22" spans="2:15" ht="88.5" customHeight="1" thickBot="1" x14ac:dyDescent="0.35">
      <c r="B22" s="29" t="s">
        <v>46</v>
      </c>
      <c r="O22" s="120"/>
    </row>
    <row r="23" spans="2:15" ht="57" customHeight="1" thickBot="1" x14ac:dyDescent="0.35">
      <c r="B23" s="30" t="s">
        <v>47</v>
      </c>
      <c r="O23" s="120"/>
    </row>
    <row r="24" spans="2:15" ht="57" customHeight="1" thickBot="1" x14ac:dyDescent="0.35">
      <c r="B24" s="30" t="s">
        <v>48</v>
      </c>
      <c r="O24" s="120"/>
    </row>
    <row r="25" spans="2:15" ht="9" customHeight="1" x14ac:dyDescent="0.3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23.4" x14ac:dyDescent="0.3">
      <c r="J26" s="265"/>
      <c r="K26" s="265"/>
      <c r="L26" s="264" t="s">
        <v>49</v>
      </c>
      <c r="M26" s="264"/>
      <c r="N26" s="264"/>
      <c r="O26" s="32">
        <f>SUM(O5:O24)</f>
        <v>0</v>
      </c>
    </row>
    <row r="27" spans="2:15" ht="17.25" customHeight="1" x14ac:dyDescent="0.3"/>
    <row r="28" spans="2:15" ht="23.4" x14ac:dyDescent="0.3">
      <c r="H28" s="181" t="s">
        <v>189</v>
      </c>
      <c r="I28" s="181"/>
      <c r="J28" s="181"/>
      <c r="K28" s="181"/>
      <c r="L28" s="181"/>
      <c r="M28" s="181"/>
      <c r="N28" s="262" t="str">
        <f>IF(O26&gt;0,VLOOKUP(O26,Apoio!$A$54:$B$59,2,TRUE),"")</f>
        <v/>
      </c>
      <c r="O28" s="263"/>
    </row>
    <row r="29" spans="2:15" ht="14.4" x14ac:dyDescent="0.3"/>
  </sheetData>
  <mergeCells count="9">
    <mergeCell ref="B2:O2"/>
    <mergeCell ref="H28:M28"/>
    <mergeCell ref="N28:O28"/>
    <mergeCell ref="C4:E4"/>
    <mergeCell ref="F4:H4"/>
    <mergeCell ref="I4:K4"/>
    <mergeCell ref="L4:N4"/>
    <mergeCell ref="J26:K26"/>
    <mergeCell ref="L26:N26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O29"/>
  <sheetViews>
    <sheetView showGridLines="0" zoomScaleNormal="100" workbookViewId="0"/>
  </sheetViews>
  <sheetFormatPr defaultRowHeight="57" customHeight="1" x14ac:dyDescent="0.3"/>
  <cols>
    <col min="1" max="1" width="3.33203125" customWidth="1"/>
    <col min="2" max="2" width="35.6640625" customWidth="1"/>
    <col min="14" max="14" width="10.109375" customWidth="1"/>
  </cols>
  <sheetData>
    <row r="2" spans="2:15" ht="25.8" x14ac:dyDescent="0.3">
      <c r="B2" s="258" t="s">
        <v>219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2:15" ht="6" customHeight="1" x14ac:dyDescent="0.3"/>
    <row r="4" spans="2:15" ht="28.5" customHeight="1" thickBot="1" x14ac:dyDescent="0.35">
      <c r="B4" s="162"/>
      <c r="C4" s="261">
        <v>1</v>
      </c>
      <c r="D4" s="261"/>
      <c r="E4" s="261"/>
      <c r="F4" s="261">
        <v>2</v>
      </c>
      <c r="G4" s="261"/>
      <c r="H4" s="261"/>
      <c r="I4" s="261">
        <v>3</v>
      </c>
      <c r="J4" s="261"/>
      <c r="K4" s="261"/>
      <c r="L4" s="261">
        <v>4</v>
      </c>
      <c r="M4" s="261"/>
      <c r="N4" s="261"/>
      <c r="O4" s="54" t="s">
        <v>54</v>
      </c>
    </row>
    <row r="5" spans="2:15" ht="57" customHeight="1" thickBot="1" x14ac:dyDescent="0.35">
      <c r="B5" s="29" t="s">
        <v>31</v>
      </c>
      <c r="O5" s="120"/>
    </row>
    <row r="6" spans="2:15" ht="57" customHeight="1" thickBot="1" x14ac:dyDescent="0.35">
      <c r="B6" s="29" t="s">
        <v>32</v>
      </c>
      <c r="O6" s="120"/>
    </row>
    <row r="7" spans="2:15" ht="123.75" customHeight="1" thickBot="1" x14ac:dyDescent="0.35">
      <c r="B7" s="29" t="s">
        <v>33</v>
      </c>
      <c r="O7" s="120"/>
    </row>
    <row r="8" spans="2:15" ht="190.5" customHeight="1" thickBot="1" x14ac:dyDescent="0.35">
      <c r="B8" s="29" t="s">
        <v>71</v>
      </c>
      <c r="O8" s="120"/>
    </row>
    <row r="9" spans="2:15" ht="57" customHeight="1" thickBot="1" x14ac:dyDescent="0.35">
      <c r="B9" s="29" t="s">
        <v>34</v>
      </c>
      <c r="O9" s="120"/>
    </row>
    <row r="10" spans="2:15" ht="57" customHeight="1" thickBot="1" x14ac:dyDescent="0.35">
      <c r="B10" s="29" t="s">
        <v>35</v>
      </c>
      <c r="O10" s="120"/>
    </row>
    <row r="11" spans="2:15" ht="57" customHeight="1" thickBot="1" x14ac:dyDescent="0.35">
      <c r="B11" s="29" t="s">
        <v>36</v>
      </c>
      <c r="O11" s="120"/>
    </row>
    <row r="12" spans="2:15" ht="174" customHeight="1" thickBot="1" x14ac:dyDescent="0.35">
      <c r="B12" s="29" t="s">
        <v>37</v>
      </c>
      <c r="O12" s="120"/>
    </row>
    <row r="13" spans="2:15" ht="71.25" customHeight="1" thickBot="1" x14ac:dyDescent="0.35">
      <c r="B13" s="29" t="s">
        <v>38</v>
      </c>
      <c r="O13" s="120"/>
    </row>
    <row r="14" spans="2:15" ht="102.75" customHeight="1" thickBot="1" x14ac:dyDescent="0.35">
      <c r="B14" s="29" t="s">
        <v>57</v>
      </c>
      <c r="O14" s="120"/>
    </row>
    <row r="15" spans="2:15" ht="136.5" customHeight="1" thickBot="1" x14ac:dyDescent="0.35">
      <c r="B15" s="29" t="s">
        <v>39</v>
      </c>
      <c r="O15" s="120"/>
    </row>
    <row r="16" spans="2:15" ht="66.75" customHeight="1" thickBot="1" x14ac:dyDescent="0.35">
      <c r="B16" s="29" t="s">
        <v>40</v>
      </c>
      <c r="O16" s="120"/>
    </row>
    <row r="17" spans="2:15" ht="74.25" customHeight="1" thickBot="1" x14ac:dyDescent="0.35">
      <c r="B17" s="29" t="s">
        <v>41</v>
      </c>
      <c r="O17" s="120"/>
    </row>
    <row r="18" spans="2:15" ht="120" customHeight="1" thickBot="1" x14ac:dyDescent="0.35">
      <c r="B18" s="29" t="s">
        <v>42</v>
      </c>
      <c r="O18" s="120"/>
    </row>
    <row r="19" spans="2:15" ht="61.5" customHeight="1" thickBot="1" x14ac:dyDescent="0.35">
      <c r="B19" s="29" t="s">
        <v>43</v>
      </c>
      <c r="O19" s="120"/>
    </row>
    <row r="20" spans="2:15" ht="150" customHeight="1" thickBot="1" x14ac:dyDescent="0.35">
      <c r="B20" s="30" t="s">
        <v>44</v>
      </c>
      <c r="O20" s="120"/>
    </row>
    <row r="21" spans="2:15" ht="104.25" customHeight="1" thickBot="1" x14ac:dyDescent="0.35">
      <c r="B21" s="30" t="s">
        <v>45</v>
      </c>
      <c r="O21" s="120"/>
    </row>
    <row r="22" spans="2:15" ht="88.5" customHeight="1" thickBot="1" x14ac:dyDescent="0.35">
      <c r="B22" s="29" t="s">
        <v>46</v>
      </c>
      <c r="O22" s="120"/>
    </row>
    <row r="23" spans="2:15" ht="57" customHeight="1" thickBot="1" x14ac:dyDescent="0.35">
      <c r="B23" s="30" t="s">
        <v>47</v>
      </c>
      <c r="O23" s="120"/>
    </row>
    <row r="24" spans="2:15" ht="57" customHeight="1" thickBot="1" x14ac:dyDescent="0.35">
      <c r="B24" s="30" t="s">
        <v>48</v>
      </c>
      <c r="O24" s="120"/>
    </row>
    <row r="25" spans="2:15" ht="9" customHeight="1" x14ac:dyDescent="0.3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23.4" x14ac:dyDescent="0.3">
      <c r="J26" s="265"/>
      <c r="K26" s="265"/>
      <c r="L26" s="264" t="s">
        <v>49</v>
      </c>
      <c r="M26" s="264"/>
      <c r="N26" s="264"/>
      <c r="O26" s="32">
        <f>SUM(O5:O24)</f>
        <v>0</v>
      </c>
    </row>
    <row r="27" spans="2:15" ht="12.75" customHeight="1" x14ac:dyDescent="0.3"/>
    <row r="28" spans="2:15" ht="23.4" x14ac:dyDescent="0.3">
      <c r="H28" s="181" t="s">
        <v>189</v>
      </c>
      <c r="I28" s="181"/>
      <c r="J28" s="181"/>
      <c r="K28" s="181"/>
      <c r="L28" s="181"/>
      <c r="M28" s="181"/>
      <c r="N28" s="262" t="str">
        <f>IF(O26&gt;0,VLOOKUP(O26,Apoio!$A$54:$B$59,2,TRUE),"")</f>
        <v/>
      </c>
      <c r="O28" s="263"/>
    </row>
    <row r="29" spans="2:15" ht="14.4" x14ac:dyDescent="0.3"/>
  </sheetData>
  <mergeCells count="9">
    <mergeCell ref="B2:O2"/>
    <mergeCell ref="H28:M28"/>
    <mergeCell ref="N28:O28"/>
    <mergeCell ref="C4:E4"/>
    <mergeCell ref="F4:H4"/>
    <mergeCell ref="I4:K4"/>
    <mergeCell ref="L4:N4"/>
    <mergeCell ref="J26:K26"/>
    <mergeCell ref="L26:N26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O29"/>
  <sheetViews>
    <sheetView showGridLines="0" zoomScaleNormal="100" workbookViewId="0">
      <selection activeCell="B2" sqref="B2:O2"/>
    </sheetView>
  </sheetViews>
  <sheetFormatPr defaultRowHeight="57" customHeight="1" x14ac:dyDescent="0.3"/>
  <cols>
    <col min="1" max="1" width="3.33203125" customWidth="1"/>
    <col min="2" max="2" width="35.6640625" customWidth="1"/>
    <col min="14" max="14" width="10.109375" customWidth="1"/>
  </cols>
  <sheetData>
    <row r="2" spans="2:15" ht="25.8" x14ac:dyDescent="0.3">
      <c r="B2" s="258" t="s">
        <v>220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2:15" ht="6" customHeight="1" x14ac:dyDescent="0.3"/>
    <row r="4" spans="2:15" ht="28.5" customHeight="1" thickBot="1" x14ac:dyDescent="0.35">
      <c r="B4" s="162"/>
      <c r="C4" s="261">
        <v>1</v>
      </c>
      <c r="D4" s="261"/>
      <c r="E4" s="261"/>
      <c r="F4" s="261">
        <v>2</v>
      </c>
      <c r="G4" s="261"/>
      <c r="H4" s="261"/>
      <c r="I4" s="261">
        <v>3</v>
      </c>
      <c r="J4" s="261"/>
      <c r="K4" s="261"/>
      <c r="L4" s="261">
        <v>4</v>
      </c>
      <c r="M4" s="261"/>
      <c r="N4" s="261"/>
      <c r="O4" s="54" t="s">
        <v>54</v>
      </c>
    </row>
    <row r="5" spans="2:15" ht="57" customHeight="1" thickBot="1" x14ac:dyDescent="0.35">
      <c r="B5" s="29" t="s">
        <v>31</v>
      </c>
      <c r="O5" s="120"/>
    </row>
    <row r="6" spans="2:15" ht="57" customHeight="1" thickBot="1" x14ac:dyDescent="0.35">
      <c r="B6" s="29" t="s">
        <v>32</v>
      </c>
      <c r="O6" s="120"/>
    </row>
    <row r="7" spans="2:15" ht="123.75" customHeight="1" thickBot="1" x14ac:dyDescent="0.35">
      <c r="B7" s="29" t="s">
        <v>33</v>
      </c>
      <c r="O7" s="120"/>
    </row>
    <row r="8" spans="2:15" ht="190.5" customHeight="1" thickBot="1" x14ac:dyDescent="0.35">
      <c r="B8" s="29" t="s">
        <v>71</v>
      </c>
      <c r="O8" s="120"/>
    </row>
    <row r="9" spans="2:15" ht="57" customHeight="1" thickBot="1" x14ac:dyDescent="0.35">
      <c r="B9" s="29" t="s">
        <v>34</v>
      </c>
      <c r="O9" s="120"/>
    </row>
    <row r="10" spans="2:15" ht="57" customHeight="1" thickBot="1" x14ac:dyDescent="0.35">
      <c r="B10" s="29" t="s">
        <v>35</v>
      </c>
      <c r="O10" s="120"/>
    </row>
    <row r="11" spans="2:15" ht="57" customHeight="1" thickBot="1" x14ac:dyDescent="0.35">
      <c r="B11" s="29" t="s">
        <v>36</v>
      </c>
      <c r="O11" s="120"/>
    </row>
    <row r="12" spans="2:15" ht="174" customHeight="1" thickBot="1" x14ac:dyDescent="0.35">
      <c r="B12" s="29" t="s">
        <v>37</v>
      </c>
      <c r="O12" s="120"/>
    </row>
    <row r="13" spans="2:15" ht="71.25" customHeight="1" thickBot="1" x14ac:dyDescent="0.35">
      <c r="B13" s="29" t="s">
        <v>38</v>
      </c>
      <c r="O13" s="120"/>
    </row>
    <row r="14" spans="2:15" ht="102.75" customHeight="1" thickBot="1" x14ac:dyDescent="0.35">
      <c r="B14" s="29" t="s">
        <v>57</v>
      </c>
      <c r="O14" s="120"/>
    </row>
    <row r="15" spans="2:15" ht="136.5" customHeight="1" thickBot="1" x14ac:dyDescent="0.35">
      <c r="B15" s="29" t="s">
        <v>39</v>
      </c>
      <c r="O15" s="120"/>
    </row>
    <row r="16" spans="2:15" ht="66.75" customHeight="1" thickBot="1" x14ac:dyDescent="0.35">
      <c r="B16" s="29" t="s">
        <v>40</v>
      </c>
      <c r="O16" s="120"/>
    </row>
    <row r="17" spans="2:15" ht="74.25" customHeight="1" thickBot="1" x14ac:dyDescent="0.35">
      <c r="B17" s="29" t="s">
        <v>41</v>
      </c>
      <c r="O17" s="120"/>
    </row>
    <row r="18" spans="2:15" ht="120" customHeight="1" thickBot="1" x14ac:dyDescent="0.35">
      <c r="B18" s="29" t="s">
        <v>42</v>
      </c>
      <c r="O18" s="120"/>
    </row>
    <row r="19" spans="2:15" ht="61.5" customHeight="1" thickBot="1" x14ac:dyDescent="0.35">
      <c r="B19" s="29" t="s">
        <v>43</v>
      </c>
      <c r="O19" s="120"/>
    </row>
    <row r="20" spans="2:15" ht="150" customHeight="1" thickBot="1" x14ac:dyDescent="0.35">
      <c r="B20" s="30" t="s">
        <v>44</v>
      </c>
      <c r="O20" s="120"/>
    </row>
    <row r="21" spans="2:15" ht="104.25" customHeight="1" thickBot="1" x14ac:dyDescent="0.35">
      <c r="B21" s="30" t="s">
        <v>45</v>
      </c>
      <c r="O21" s="120"/>
    </row>
    <row r="22" spans="2:15" ht="88.5" customHeight="1" thickBot="1" x14ac:dyDescent="0.35">
      <c r="B22" s="29" t="s">
        <v>46</v>
      </c>
      <c r="O22" s="120"/>
    </row>
    <row r="23" spans="2:15" ht="57" customHeight="1" thickBot="1" x14ac:dyDescent="0.35">
      <c r="B23" s="30" t="s">
        <v>47</v>
      </c>
      <c r="O23" s="120"/>
    </row>
    <row r="24" spans="2:15" ht="57" customHeight="1" thickBot="1" x14ac:dyDescent="0.35">
      <c r="B24" s="30" t="s">
        <v>48</v>
      </c>
      <c r="O24" s="120"/>
    </row>
    <row r="25" spans="2:15" ht="9" customHeight="1" x14ac:dyDescent="0.3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23.4" x14ac:dyDescent="0.3">
      <c r="J26" s="265"/>
      <c r="K26" s="265"/>
      <c r="L26" s="264" t="s">
        <v>49</v>
      </c>
      <c r="M26" s="264"/>
      <c r="N26" s="264"/>
      <c r="O26" s="32">
        <f>SUM(O5:O24)</f>
        <v>0</v>
      </c>
    </row>
    <row r="27" spans="2:15" ht="15.75" customHeight="1" x14ac:dyDescent="0.3"/>
    <row r="28" spans="2:15" ht="23.4" x14ac:dyDescent="0.3">
      <c r="H28" s="181" t="s">
        <v>189</v>
      </c>
      <c r="I28" s="181"/>
      <c r="J28" s="181"/>
      <c r="K28" s="181"/>
      <c r="L28" s="181"/>
      <c r="M28" s="181"/>
      <c r="N28" s="262" t="str">
        <f>IF(O26&gt;0,VLOOKUP(O26,Apoio!$A$54:$B$59,2,TRUE),"")</f>
        <v/>
      </c>
      <c r="O28" s="263"/>
    </row>
    <row r="29" spans="2:15" ht="14.4" x14ac:dyDescent="0.3"/>
  </sheetData>
  <mergeCells count="9">
    <mergeCell ref="B2:O2"/>
    <mergeCell ref="H28:M28"/>
    <mergeCell ref="N28:O28"/>
    <mergeCell ref="C4:E4"/>
    <mergeCell ref="F4:H4"/>
    <mergeCell ref="I4:K4"/>
    <mergeCell ref="L4:N4"/>
    <mergeCell ref="J26:K26"/>
    <mergeCell ref="L26:N26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O29"/>
  <sheetViews>
    <sheetView showGridLines="0" zoomScaleNormal="100" workbookViewId="0">
      <selection activeCell="Q2" sqref="Q2"/>
    </sheetView>
  </sheetViews>
  <sheetFormatPr defaultRowHeight="57" customHeight="1" x14ac:dyDescent="0.3"/>
  <cols>
    <col min="1" max="1" width="3.33203125" customWidth="1"/>
    <col min="2" max="2" width="35.6640625" customWidth="1"/>
    <col min="14" max="14" width="10.109375" customWidth="1"/>
  </cols>
  <sheetData>
    <row r="2" spans="2:15" ht="25.8" x14ac:dyDescent="0.3">
      <c r="B2" s="258" t="s">
        <v>221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2:15" ht="6" customHeight="1" x14ac:dyDescent="0.3"/>
    <row r="4" spans="2:15" ht="28.5" customHeight="1" thickBot="1" x14ac:dyDescent="0.35">
      <c r="B4" s="162"/>
      <c r="C4" s="261">
        <v>1</v>
      </c>
      <c r="D4" s="261"/>
      <c r="E4" s="261"/>
      <c r="F4" s="261">
        <v>2</v>
      </c>
      <c r="G4" s="261"/>
      <c r="H4" s="261"/>
      <c r="I4" s="261">
        <v>3</v>
      </c>
      <c r="J4" s="261"/>
      <c r="K4" s="261"/>
      <c r="L4" s="261">
        <v>4</v>
      </c>
      <c r="M4" s="261"/>
      <c r="N4" s="261"/>
      <c r="O4" s="54" t="s">
        <v>54</v>
      </c>
    </row>
    <row r="5" spans="2:15" ht="57" customHeight="1" thickBot="1" x14ac:dyDescent="0.35">
      <c r="B5" s="29" t="s">
        <v>31</v>
      </c>
      <c r="O5" s="120"/>
    </row>
    <row r="6" spans="2:15" ht="57" customHeight="1" thickBot="1" x14ac:dyDescent="0.35">
      <c r="B6" s="29" t="s">
        <v>32</v>
      </c>
      <c r="O6" s="120"/>
    </row>
    <row r="7" spans="2:15" ht="123.75" customHeight="1" thickBot="1" x14ac:dyDescent="0.35">
      <c r="B7" s="29" t="s">
        <v>33</v>
      </c>
      <c r="O7" s="120"/>
    </row>
    <row r="8" spans="2:15" ht="190.5" customHeight="1" thickBot="1" x14ac:dyDescent="0.35">
      <c r="B8" s="29" t="s">
        <v>71</v>
      </c>
      <c r="O8" s="120"/>
    </row>
    <row r="9" spans="2:15" ht="57" customHeight="1" thickBot="1" x14ac:dyDescent="0.35">
      <c r="B9" s="29" t="s">
        <v>34</v>
      </c>
      <c r="O9" s="120"/>
    </row>
    <row r="10" spans="2:15" ht="57" customHeight="1" thickBot="1" x14ac:dyDescent="0.35">
      <c r="B10" s="29" t="s">
        <v>35</v>
      </c>
      <c r="O10" s="120"/>
    </row>
    <row r="11" spans="2:15" ht="57" customHeight="1" thickBot="1" x14ac:dyDescent="0.35">
      <c r="B11" s="29" t="s">
        <v>36</v>
      </c>
      <c r="O11" s="120"/>
    </row>
    <row r="12" spans="2:15" ht="174" customHeight="1" thickBot="1" x14ac:dyDescent="0.35">
      <c r="B12" s="29" t="s">
        <v>37</v>
      </c>
      <c r="O12" s="120"/>
    </row>
    <row r="13" spans="2:15" ht="71.25" customHeight="1" thickBot="1" x14ac:dyDescent="0.35">
      <c r="B13" s="29" t="s">
        <v>38</v>
      </c>
      <c r="O13" s="120"/>
    </row>
    <row r="14" spans="2:15" ht="102.75" customHeight="1" thickBot="1" x14ac:dyDescent="0.35">
      <c r="B14" s="29" t="s">
        <v>57</v>
      </c>
      <c r="O14" s="120"/>
    </row>
    <row r="15" spans="2:15" ht="136.5" customHeight="1" thickBot="1" x14ac:dyDescent="0.35">
      <c r="B15" s="29" t="s">
        <v>39</v>
      </c>
      <c r="O15" s="120"/>
    </row>
    <row r="16" spans="2:15" ht="66.75" customHeight="1" thickBot="1" x14ac:dyDescent="0.35">
      <c r="B16" s="29" t="s">
        <v>40</v>
      </c>
      <c r="O16" s="120"/>
    </row>
    <row r="17" spans="2:15" ht="74.25" customHeight="1" thickBot="1" x14ac:dyDescent="0.35">
      <c r="B17" s="29" t="s">
        <v>41</v>
      </c>
      <c r="O17" s="120"/>
    </row>
    <row r="18" spans="2:15" ht="120" customHeight="1" thickBot="1" x14ac:dyDescent="0.35">
      <c r="B18" s="29" t="s">
        <v>42</v>
      </c>
      <c r="O18" s="120"/>
    </row>
    <row r="19" spans="2:15" ht="61.5" customHeight="1" thickBot="1" x14ac:dyDescent="0.35">
      <c r="B19" s="29" t="s">
        <v>43</v>
      </c>
      <c r="O19" s="120"/>
    </row>
    <row r="20" spans="2:15" ht="150" customHeight="1" thickBot="1" x14ac:dyDescent="0.35">
      <c r="B20" s="30" t="s">
        <v>44</v>
      </c>
      <c r="O20" s="120"/>
    </row>
    <row r="21" spans="2:15" ht="104.25" customHeight="1" thickBot="1" x14ac:dyDescent="0.35">
      <c r="B21" s="30" t="s">
        <v>45</v>
      </c>
      <c r="O21" s="120"/>
    </row>
    <row r="22" spans="2:15" ht="88.5" customHeight="1" thickBot="1" x14ac:dyDescent="0.35">
      <c r="B22" s="29" t="s">
        <v>46</v>
      </c>
      <c r="O22" s="120"/>
    </row>
    <row r="23" spans="2:15" ht="57" customHeight="1" thickBot="1" x14ac:dyDescent="0.35">
      <c r="B23" s="30" t="s">
        <v>47</v>
      </c>
      <c r="O23" s="120"/>
    </row>
    <row r="24" spans="2:15" ht="57" customHeight="1" thickBot="1" x14ac:dyDescent="0.35">
      <c r="B24" s="30" t="s">
        <v>48</v>
      </c>
      <c r="O24" s="120"/>
    </row>
    <row r="25" spans="2:15" ht="9" customHeight="1" x14ac:dyDescent="0.3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23.4" x14ac:dyDescent="0.3">
      <c r="J26" s="265"/>
      <c r="K26" s="265"/>
      <c r="L26" s="264" t="s">
        <v>49</v>
      </c>
      <c r="M26" s="264"/>
      <c r="N26" s="264"/>
      <c r="O26" s="32">
        <f>SUM(O5:O24)</f>
        <v>0</v>
      </c>
    </row>
    <row r="27" spans="2:15" ht="15.75" customHeight="1" x14ac:dyDescent="0.3"/>
    <row r="28" spans="2:15" ht="23.4" x14ac:dyDescent="0.3">
      <c r="H28" s="181" t="s">
        <v>189</v>
      </c>
      <c r="I28" s="181"/>
      <c r="J28" s="181"/>
      <c r="K28" s="181"/>
      <c r="L28" s="181"/>
      <c r="M28" s="181"/>
      <c r="N28" s="262" t="str">
        <f>IF(O26&gt;0,VLOOKUP(O26,Apoio!$A$54:$B$59,2,TRUE),"")</f>
        <v/>
      </c>
      <c r="O28" s="263"/>
    </row>
    <row r="29" spans="2:15" ht="14.4" x14ac:dyDescent="0.3"/>
  </sheetData>
  <mergeCells count="9">
    <mergeCell ref="B2:O2"/>
    <mergeCell ref="H28:M28"/>
    <mergeCell ref="N28:O28"/>
    <mergeCell ref="C4:E4"/>
    <mergeCell ref="F4:H4"/>
    <mergeCell ref="I4:K4"/>
    <mergeCell ref="L4:N4"/>
    <mergeCell ref="J26:K26"/>
    <mergeCell ref="L26:N26"/>
  </mergeCells>
  <pageMargins left="0.25" right="0.25" top="0.75" bottom="0.75" header="0.3" footer="0.3"/>
  <pageSetup paperSize="9" scale="63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7">
    <pageSetUpPr fitToPage="1"/>
  </sheetPr>
  <dimension ref="B1:H77"/>
  <sheetViews>
    <sheetView showGridLines="0" workbookViewId="0">
      <pane xSplit="8" ySplit="5" topLeftCell="I6" activePane="bottomRight" state="frozen"/>
      <selection pane="topRight" activeCell="I1" sqref="I1"/>
      <selection pane="bottomLeft" activeCell="A4" sqref="A4"/>
      <selection pane="bottomRight"/>
    </sheetView>
  </sheetViews>
  <sheetFormatPr defaultRowHeight="14.4" x14ac:dyDescent="0.3"/>
  <cols>
    <col min="1" max="1" width="3.33203125" customWidth="1"/>
    <col min="2" max="2" width="30.88671875" style="14" customWidth="1"/>
    <col min="3" max="3" width="17.6640625" bestFit="1" customWidth="1"/>
    <col min="4" max="4" width="17" customWidth="1"/>
    <col min="5" max="5" width="17.109375" customWidth="1"/>
    <col min="6" max="6" width="17.6640625" bestFit="1" customWidth="1"/>
    <col min="7" max="7" width="16.5546875" customWidth="1"/>
    <col min="8" max="8" width="16.88671875" customWidth="1"/>
  </cols>
  <sheetData>
    <row r="1" spans="2:8" ht="57" customHeight="1" x14ac:dyDescent="0.3">
      <c r="B1" s="5"/>
    </row>
    <row r="2" spans="2:8" ht="25.5" customHeight="1" x14ac:dyDescent="0.3">
      <c r="B2" s="266" t="s">
        <v>162</v>
      </c>
      <c r="C2" s="266"/>
      <c r="D2" s="266"/>
      <c r="E2" s="266"/>
      <c r="F2" s="266"/>
      <c r="G2" s="266"/>
      <c r="H2" s="266"/>
    </row>
    <row r="3" spans="2:8" ht="25.5" customHeight="1" x14ac:dyDescent="0.3">
      <c r="B3" s="121"/>
      <c r="C3" s="266" t="str">
        <f>IF('Dados do Aluno'!E6="","",'Dados do Aluno'!E6)</f>
        <v>Hermes Santos</v>
      </c>
      <c r="D3" s="266"/>
      <c r="E3" s="266"/>
      <c r="F3" s="266"/>
      <c r="G3" s="121"/>
      <c r="H3" s="121"/>
    </row>
    <row r="4" spans="2:8" x14ac:dyDescent="0.3">
      <c r="B4" s="163" t="s">
        <v>232</v>
      </c>
      <c r="C4" s="164" t="str">
        <f>IF('Composição Corporal1'!C2="","",'Composição Corporal1'!C2)</f>
        <v/>
      </c>
      <c r="D4" s="164" t="str">
        <f>IF('Composição Corporal2'!C2="","",'Composição Corporal2'!C2)</f>
        <v/>
      </c>
      <c r="E4" s="164" t="str">
        <f>IF('Composição Corporal3'!C2="","",'Composição Corporal3'!C2)</f>
        <v/>
      </c>
      <c r="F4" s="164" t="str">
        <f>IF('Composição Corporal4'!C2="","",'Composição Corporal4'!C2)</f>
        <v/>
      </c>
      <c r="G4" s="164" t="str">
        <f>IF('Composição Corporal5'!C2="","",'Composição Corporal5'!C2)</f>
        <v/>
      </c>
      <c r="H4" s="164" t="str">
        <f>IF('Composição Corporal6'!C2="","",'Composição Corporal6'!C2)</f>
        <v/>
      </c>
    </row>
    <row r="5" spans="2:8" x14ac:dyDescent="0.3">
      <c r="B5" s="163" t="s">
        <v>72</v>
      </c>
      <c r="C5" s="165" t="s">
        <v>73</v>
      </c>
      <c r="D5" s="165" t="s">
        <v>74</v>
      </c>
      <c r="E5" s="165" t="s">
        <v>75</v>
      </c>
      <c r="F5" s="165" t="s">
        <v>76</v>
      </c>
      <c r="G5" s="165" t="s">
        <v>77</v>
      </c>
      <c r="H5" s="165" t="s">
        <v>78</v>
      </c>
    </row>
    <row r="6" spans="2:8" x14ac:dyDescent="0.3">
      <c r="B6" s="166" t="s">
        <v>79</v>
      </c>
      <c r="C6" s="143">
        <f>'Composição Corporal1'!$C$6</f>
        <v>0</v>
      </c>
      <c r="D6" s="143">
        <f>'Composição Corporal2'!$C$6</f>
        <v>0</v>
      </c>
      <c r="E6" s="143">
        <f>'Composição Corporal3'!$C$6</f>
        <v>0</v>
      </c>
      <c r="F6" s="143">
        <f>'Composição Corporal4'!$C$6</f>
        <v>0</v>
      </c>
      <c r="G6" s="143">
        <f>'Composição Corporal5'!$C$6</f>
        <v>0</v>
      </c>
      <c r="H6" s="143">
        <f>'Composição Corporal6'!$C$6</f>
        <v>0</v>
      </c>
    </row>
    <row r="7" spans="2:8" x14ac:dyDescent="0.3">
      <c r="B7" s="166" t="s">
        <v>21</v>
      </c>
      <c r="C7" s="167" t="str">
        <f>'Composição Corporal1'!$G$6</f>
        <v/>
      </c>
      <c r="D7" s="167" t="str">
        <f>'Composição Corporal2'!$G$6</f>
        <v/>
      </c>
      <c r="E7" s="167" t="str">
        <f>'Composição Corporal3'!$G$6</f>
        <v/>
      </c>
      <c r="F7" s="167" t="str">
        <f>'Composição Corporal4'!$G$6</f>
        <v/>
      </c>
      <c r="G7" s="167" t="str">
        <f>'Composição Corporal5'!$G$6</f>
        <v/>
      </c>
      <c r="H7" s="167" t="str">
        <f>'Composição Corporal6'!$G$6</f>
        <v/>
      </c>
    </row>
    <row r="8" spans="2:8" x14ac:dyDescent="0.3">
      <c r="B8" s="166" t="s">
        <v>80</v>
      </c>
      <c r="C8" s="143" t="str">
        <f>'Composição Corporal1'!$L$6</f>
        <v/>
      </c>
      <c r="D8" s="143" t="str">
        <f>'Composição Corporal2'!$L$6</f>
        <v/>
      </c>
      <c r="E8" s="143" t="str">
        <f>'Composição Corporal3'!$L$6</f>
        <v/>
      </c>
      <c r="F8" s="143" t="str">
        <f>'Composição Corporal4'!$L$6</f>
        <v/>
      </c>
      <c r="G8" s="143" t="str">
        <f>'Composição Corporal5'!$L$6</f>
        <v/>
      </c>
      <c r="H8" s="143" t="str">
        <f>'Composição Corporal6'!$L$6</f>
        <v/>
      </c>
    </row>
    <row r="9" spans="2:8" x14ac:dyDescent="0.3">
      <c r="B9" s="163" t="s">
        <v>164</v>
      </c>
      <c r="C9" s="268"/>
      <c r="D9" s="269"/>
      <c r="E9" s="269"/>
      <c r="F9" s="269"/>
      <c r="G9" s="269"/>
      <c r="H9" s="269"/>
    </row>
    <row r="10" spans="2:8" x14ac:dyDescent="0.3">
      <c r="B10" s="166" t="s">
        <v>61</v>
      </c>
      <c r="C10" s="131">
        <f>'Composição Corporal1'!$C$15</f>
        <v>0</v>
      </c>
      <c r="D10" s="131">
        <f>'Composição Corporal2'!$C$15</f>
        <v>0</v>
      </c>
      <c r="E10" s="131">
        <f>'Composição Corporal3'!$C$15</f>
        <v>0</v>
      </c>
      <c r="F10" s="131">
        <f>'Composição Corporal4'!$C$15</f>
        <v>0</v>
      </c>
      <c r="G10" s="131">
        <f>'Composição Corporal5'!$C$15</f>
        <v>0</v>
      </c>
      <c r="H10" s="131">
        <f>'Composição Corporal6'!$C$15</f>
        <v>0</v>
      </c>
    </row>
    <row r="11" spans="2:8" x14ac:dyDescent="0.3">
      <c r="B11" s="166" t="s">
        <v>62</v>
      </c>
      <c r="C11" s="131">
        <f>'Composição Corporal1'!$C$17</f>
        <v>0</v>
      </c>
      <c r="D11" s="131">
        <f>'Composição Corporal2'!$C$17</f>
        <v>0</v>
      </c>
      <c r="E11" s="131">
        <f>'Composição Corporal3'!$C$17</f>
        <v>0</v>
      </c>
      <c r="F11" s="131">
        <f>'Composição Corporal4'!$C$17</f>
        <v>0</v>
      </c>
      <c r="G11" s="131">
        <f>'Composição Corporal5'!$C$17</f>
        <v>0</v>
      </c>
      <c r="H11" s="131">
        <f>'Composição Corporal6'!$C$17</f>
        <v>0</v>
      </c>
    </row>
    <row r="12" spans="2:8" x14ac:dyDescent="0.3">
      <c r="B12" s="166" t="s">
        <v>63</v>
      </c>
      <c r="C12" s="131">
        <f>'Composição Corporal1'!$C$19</f>
        <v>0</v>
      </c>
      <c r="D12" s="131">
        <f>'Composição Corporal2'!$C$19</f>
        <v>0</v>
      </c>
      <c r="E12" s="131">
        <f>'Composição Corporal3'!$C$19</f>
        <v>0</v>
      </c>
      <c r="F12" s="131">
        <f>'Composição Corporal4'!$C$19</f>
        <v>0</v>
      </c>
      <c r="G12" s="131">
        <f>'Composição Corporal5'!$C$19</f>
        <v>0</v>
      </c>
      <c r="H12" s="131">
        <f>'Composição Corporal6'!$C$19</f>
        <v>0</v>
      </c>
    </row>
    <row r="13" spans="2:8" x14ac:dyDescent="0.3">
      <c r="B13" s="166" t="s">
        <v>64</v>
      </c>
      <c r="C13" s="131">
        <f>'Composição Corporal1'!$C$21</f>
        <v>0</v>
      </c>
      <c r="D13" s="131">
        <f>'Composição Corporal2'!$C$21</f>
        <v>0</v>
      </c>
      <c r="E13" s="131">
        <f>'Composição Corporal3'!$C$21</f>
        <v>0</v>
      </c>
      <c r="F13" s="131">
        <f>'Composição Corporal4'!$C$21</f>
        <v>0</v>
      </c>
      <c r="G13" s="131">
        <f>'Composição Corporal5'!$C$21</f>
        <v>0</v>
      </c>
      <c r="H13" s="131">
        <f>'Composição Corporal6'!$C$21</f>
        <v>0</v>
      </c>
    </row>
    <row r="14" spans="2:8" x14ac:dyDescent="0.3">
      <c r="B14" s="166" t="s">
        <v>65</v>
      </c>
      <c r="C14" s="131">
        <f>'Composição Corporal1'!$C$23</f>
        <v>0</v>
      </c>
      <c r="D14" s="131">
        <f>'Composição Corporal2'!$C$23</f>
        <v>0</v>
      </c>
      <c r="E14" s="131">
        <f>'Composição Corporal3'!$C$23</f>
        <v>0</v>
      </c>
      <c r="F14" s="131">
        <f>'Composição Corporal4'!$C$23</f>
        <v>0</v>
      </c>
      <c r="G14" s="131">
        <f>'Composição Corporal5'!$C$23</f>
        <v>0</v>
      </c>
      <c r="H14" s="131">
        <f>'Composição Corporal6'!$C$23</f>
        <v>0</v>
      </c>
    </row>
    <row r="15" spans="2:8" x14ac:dyDescent="0.3">
      <c r="B15" s="166" t="s">
        <v>66</v>
      </c>
      <c r="C15" s="131">
        <f>'Composição Corporal1'!$C$25</f>
        <v>0</v>
      </c>
      <c r="D15" s="131">
        <f>'Composição Corporal2'!$C$25</f>
        <v>0</v>
      </c>
      <c r="E15" s="131">
        <f>'Composição Corporal3'!$C$25</f>
        <v>0</v>
      </c>
      <c r="F15" s="131">
        <f>'Composição Corporal4'!$C$25</f>
        <v>0</v>
      </c>
      <c r="G15" s="131">
        <f>'Composição Corporal5'!$C$25</f>
        <v>0</v>
      </c>
      <c r="H15" s="131">
        <f>'Composição Corporal6'!$C$25</f>
        <v>0</v>
      </c>
    </row>
    <row r="16" spans="2:8" x14ac:dyDescent="0.3">
      <c r="B16" s="166" t="s">
        <v>67</v>
      </c>
      <c r="C16" s="131">
        <f>'Composição Corporal1'!$C$27</f>
        <v>0</v>
      </c>
      <c r="D16" s="131">
        <f>'Composição Corporal2'!$C$27</f>
        <v>0</v>
      </c>
      <c r="E16" s="131">
        <f>'Composição Corporal3'!$C$27</f>
        <v>0</v>
      </c>
      <c r="F16" s="131">
        <f>'Composição Corporal4'!$C$27</f>
        <v>0</v>
      </c>
      <c r="G16" s="131">
        <f>'Composição Corporal5'!$C$27</f>
        <v>0</v>
      </c>
      <c r="H16" s="131">
        <f>'Composição Corporal6'!$C$27</f>
        <v>0</v>
      </c>
    </row>
    <row r="17" spans="2:8" x14ac:dyDescent="0.3">
      <c r="B17" s="166" t="s">
        <v>68</v>
      </c>
      <c r="C17" s="131">
        <f>'Composição Corporal1'!$C$29</f>
        <v>0</v>
      </c>
      <c r="D17" s="131">
        <f>'Composição Corporal2'!$C$29</f>
        <v>0</v>
      </c>
      <c r="E17" s="131">
        <f>'Composição Corporal3'!$C$29</f>
        <v>0</v>
      </c>
      <c r="F17" s="131">
        <f>'Composição Corporal4'!$C$29</f>
        <v>0</v>
      </c>
      <c r="G17" s="131">
        <f>'Composição Corporal5'!$C$29</f>
        <v>0</v>
      </c>
      <c r="H17" s="131">
        <f>'Composição Corporal6'!$C$29</f>
        <v>0</v>
      </c>
    </row>
    <row r="18" spans="2:8" x14ac:dyDescent="0.3">
      <c r="B18" s="166" t="s">
        <v>69</v>
      </c>
      <c r="C18" s="131">
        <f>'Composição Corporal1'!$C$31</f>
        <v>0</v>
      </c>
      <c r="D18" s="131">
        <f>'Composição Corporal2'!$C$31</f>
        <v>0</v>
      </c>
      <c r="E18" s="131">
        <f>'Composição Corporal3'!$C$31</f>
        <v>0</v>
      </c>
      <c r="F18" s="131">
        <f>'Composição Corporal4'!$C$31</f>
        <v>0</v>
      </c>
      <c r="G18" s="131">
        <f>'Composição Corporal5'!$C$31</f>
        <v>0</v>
      </c>
      <c r="H18" s="131">
        <f>'Composição Corporal6'!$C$31</f>
        <v>0</v>
      </c>
    </row>
    <row r="19" spans="2:8" x14ac:dyDescent="0.3">
      <c r="B19" s="166" t="s">
        <v>70</v>
      </c>
      <c r="C19" s="143">
        <f>'Composição Corporal1'!$C$33</f>
        <v>0</v>
      </c>
      <c r="D19" s="143">
        <f>'Composição Corporal2'!$C$33</f>
        <v>0</v>
      </c>
      <c r="E19" s="143">
        <f>'Composição Corporal3'!$C$33</f>
        <v>0</v>
      </c>
      <c r="F19" s="143">
        <f>'Composição Corporal4'!$C$33</f>
        <v>0</v>
      </c>
      <c r="G19" s="143">
        <f>'Composição Corporal5'!$C$33</f>
        <v>0</v>
      </c>
      <c r="H19" s="143">
        <f>'Composição Corporal6'!$C$33</f>
        <v>0</v>
      </c>
    </row>
    <row r="20" spans="2:8" x14ac:dyDescent="0.3">
      <c r="B20" s="163" t="s">
        <v>91</v>
      </c>
      <c r="C20" s="270"/>
      <c r="D20" s="271"/>
      <c r="E20" s="271"/>
      <c r="F20" s="271"/>
      <c r="G20" s="271"/>
      <c r="H20" s="271"/>
    </row>
    <row r="21" spans="2:8" x14ac:dyDescent="0.3">
      <c r="B21" s="166" t="s">
        <v>81</v>
      </c>
      <c r="C21" s="131">
        <f>'Composição Corporal1'!$M$15</f>
        <v>0</v>
      </c>
      <c r="D21" s="131">
        <f>'Composição Corporal2'!$M$15</f>
        <v>0</v>
      </c>
      <c r="E21" s="131">
        <f>'Composição Corporal3'!$M$15</f>
        <v>0</v>
      </c>
      <c r="F21" s="131">
        <f>'Composição Corporal4'!$M$15</f>
        <v>0</v>
      </c>
      <c r="G21" s="131">
        <f>'Composição Corporal5'!$M$15</f>
        <v>0</v>
      </c>
      <c r="H21" s="131">
        <f>'Composição Corporal6'!$M$15</f>
        <v>0</v>
      </c>
    </row>
    <row r="22" spans="2:8" x14ac:dyDescent="0.3">
      <c r="B22" s="166" t="s">
        <v>82</v>
      </c>
      <c r="C22" s="131">
        <f>'Composição Corporal1'!$M$17</f>
        <v>0</v>
      </c>
      <c r="D22" s="131">
        <f>'Composição Corporal2'!$M$17</f>
        <v>0</v>
      </c>
      <c r="E22" s="131">
        <f>'Composição Corporal3'!$M$17</f>
        <v>0</v>
      </c>
      <c r="F22" s="131">
        <f>'Composição Corporal4'!$M$17</f>
        <v>0</v>
      </c>
      <c r="G22" s="131">
        <f>'Composição Corporal5'!$M$17</f>
        <v>0</v>
      </c>
      <c r="H22" s="131">
        <f>'Composição Corporal6'!$M$17</f>
        <v>0</v>
      </c>
    </row>
    <row r="23" spans="2:8" x14ac:dyDescent="0.3">
      <c r="B23" s="166" t="s">
        <v>83</v>
      </c>
      <c r="C23" s="131">
        <f>'Composição Corporal1'!$M$19</f>
        <v>0</v>
      </c>
      <c r="D23" s="131">
        <f>'Composição Corporal2'!$M$19</f>
        <v>0</v>
      </c>
      <c r="E23" s="131">
        <f>'Composição Corporal3'!$M$19</f>
        <v>0</v>
      </c>
      <c r="F23" s="131">
        <f>'Composição Corporal4'!$M$19</f>
        <v>0</v>
      </c>
      <c r="G23" s="131">
        <f>'Composição Corporal5'!$M$19</f>
        <v>0</v>
      </c>
      <c r="H23" s="131">
        <f>'Composição Corporal6'!$M$19</f>
        <v>0</v>
      </c>
    </row>
    <row r="24" spans="2:8" x14ac:dyDescent="0.3">
      <c r="B24" s="166" t="s">
        <v>84</v>
      </c>
      <c r="C24" s="131">
        <f>'Composição Corporal1'!$M$21</f>
        <v>0</v>
      </c>
      <c r="D24" s="131">
        <f>'Composição Corporal2'!$M$21</f>
        <v>0</v>
      </c>
      <c r="E24" s="131">
        <f>'Composição Corporal3'!$M$21</f>
        <v>0</v>
      </c>
      <c r="F24" s="131">
        <f>'Composição Corporal4'!$M$21</f>
        <v>0</v>
      </c>
      <c r="G24" s="131">
        <f>'Composição Corporal5'!$M$21</f>
        <v>0</v>
      </c>
      <c r="H24" s="131">
        <f>'Composição Corporal6'!$M$21</f>
        <v>0</v>
      </c>
    </row>
    <row r="25" spans="2:8" x14ac:dyDescent="0.3">
      <c r="B25" s="166" t="s">
        <v>85</v>
      </c>
      <c r="C25" s="131">
        <f>'Composição Corporal1'!$M$23</f>
        <v>0</v>
      </c>
      <c r="D25" s="131">
        <f>'Composição Corporal2'!$M$23</f>
        <v>0</v>
      </c>
      <c r="E25" s="131">
        <f>'Composição Corporal3'!$M$23</f>
        <v>0</v>
      </c>
      <c r="F25" s="131">
        <f>'Composição Corporal4'!$M$23</f>
        <v>0</v>
      </c>
      <c r="G25" s="131">
        <f>'Composição Corporal5'!$M$23</f>
        <v>0</v>
      </c>
      <c r="H25" s="131">
        <f>'Composição Corporal6'!$M$23</f>
        <v>0</v>
      </c>
    </row>
    <row r="26" spans="2:8" x14ac:dyDescent="0.3">
      <c r="B26" s="166" t="s">
        <v>86</v>
      </c>
      <c r="C26" s="131" t="str">
        <f>CONCATENATE("Dir",": ",'Composição Corporal1'!$M$25," / ","Esq",": ",'Composição Corporal1'!$O$25)</f>
        <v xml:space="preserve">Dir:  / Esq: </v>
      </c>
      <c r="D26" s="131" t="str">
        <f>CONCATENATE("Dir",": ",'Composição Corporal2'!$M$25," / ","Esq",": ",'Composição Corporal2'!$O$25)</f>
        <v xml:space="preserve">Dir:  / Esq: </v>
      </c>
      <c r="E26" s="131" t="str">
        <f>CONCATENATE("Dir",": ",'Composição Corporal3'!$M$25," / ","Esq",": ",'Composição Corporal3'!$O$25)</f>
        <v xml:space="preserve">Dir:  / Esq: </v>
      </c>
      <c r="F26" s="131" t="str">
        <f>CONCATENATE("Dir",": ",'Composição Corporal4'!$M$25," / ","Esq",": ",'Composição Corporal4'!$O$25)</f>
        <v xml:space="preserve">Dir:  / Esq: </v>
      </c>
      <c r="G26" s="131" t="str">
        <f>CONCATENATE("Dir",": ",'Composição Corporal5'!$M$25," / ","Esq",": ",'Composição Corporal5'!$O$25)</f>
        <v xml:space="preserve">Dir:  / Esq: </v>
      </c>
      <c r="H26" s="131" t="str">
        <f>CONCATENATE("Dir",": ",'Composição Corporal6'!$M$25," / ","Esq",": ",'Composição Corporal6'!$O$25)</f>
        <v xml:space="preserve">Dir:  / Esq: </v>
      </c>
    </row>
    <row r="27" spans="2:8" x14ac:dyDescent="0.3">
      <c r="B27" s="166" t="s">
        <v>87</v>
      </c>
      <c r="C27" s="131" t="str">
        <f>CONCATENATE("Dir",": ",'Composição Corporal1'!$M$27," / ","Esq",": ",'Composição Corporal1'!$O$27)</f>
        <v xml:space="preserve">Dir:  / Esq: </v>
      </c>
      <c r="D27" s="131" t="str">
        <f>CONCATENATE("Dir",": ",'Composição Corporal2'!$M$27," / ","Esq",": ",'Composição Corporal2'!$O$27)</f>
        <v xml:space="preserve">Dir:  / Esq: </v>
      </c>
      <c r="E27" s="131" t="str">
        <f>CONCATENATE("Dir",": ",'Composição Corporal3'!$M$27," / ","Esq",": ",'Composição Corporal3'!$O$27)</f>
        <v xml:space="preserve">Dir:  / Esq: </v>
      </c>
      <c r="F27" s="131" t="str">
        <f>CONCATENATE("Dir",": ",'Composição Corporal4'!$M$27," / ","Esq",": ",'Composição Corporal4'!$O$27)</f>
        <v xml:space="preserve">Dir:  / Esq: </v>
      </c>
      <c r="G27" s="131" t="str">
        <f>CONCATENATE("Dir",": ",'Composição Corporal5'!$M$27," / ","Esq",": ",'Composição Corporal5'!$O$27)</f>
        <v xml:space="preserve">Dir:  / Esq: </v>
      </c>
      <c r="H27" s="131" t="str">
        <f>CONCATENATE("Dir",": ",'Composição Corporal6'!$M$27," / ","Esq",": ",'Composição Corporal6'!$O$27)</f>
        <v xml:space="preserve">Dir:  / Esq: </v>
      </c>
    </row>
    <row r="28" spans="2:8" x14ac:dyDescent="0.3">
      <c r="B28" s="166" t="s">
        <v>68</v>
      </c>
      <c r="C28" s="131" t="str">
        <f>CONCATENATE("Dir",": ",'Composição Corporal1'!$M$29," / ","Esq",": ",'Composição Corporal1'!$O$29)</f>
        <v xml:space="preserve">Dir:  / Esq: </v>
      </c>
      <c r="D28" s="131" t="str">
        <f>CONCATENATE("Dir",": ",'Composição Corporal2'!$M$29," / ","Esq",": ",'Composição Corporal2'!$O$29)</f>
        <v xml:space="preserve">Dir:  / Esq: </v>
      </c>
      <c r="E28" s="131" t="str">
        <f>CONCATENATE("Dir",": ",'Composição Corporal3'!$M$29," / ","Esq",": ",'Composição Corporal3'!$O$29)</f>
        <v xml:space="preserve">Dir:  / Esq: </v>
      </c>
      <c r="F28" s="131" t="str">
        <f>CONCATENATE("Dir",": ",'Composição Corporal4'!$M$29," / ","Esq",": ",'Composição Corporal4'!$O$29)</f>
        <v xml:space="preserve">Dir:  / Esq: </v>
      </c>
      <c r="G28" s="131" t="str">
        <f>CONCATENATE("Dir",": ",'Composição Corporal5'!$M$29," / ","Esq",": ",'Composição Corporal5'!$O$29)</f>
        <v xml:space="preserve">Dir:  / Esq: </v>
      </c>
      <c r="H28" s="131" t="str">
        <f>CONCATENATE("Dir",": ",'Composição Corporal6'!$M$29," / ","Esq",": ",'Composição Corporal6'!$O$29)</f>
        <v xml:space="preserve">Dir:  / Esq: </v>
      </c>
    </row>
    <row r="29" spans="2:8" x14ac:dyDescent="0.3">
      <c r="B29" s="166" t="s">
        <v>69</v>
      </c>
      <c r="C29" s="131" t="str">
        <f>CONCATENATE("Dir",": ",'Composição Corporal1'!$M$31," / ","Esq",": ",'Composição Corporal1'!$O$31)</f>
        <v xml:space="preserve">Dir:  / Esq: </v>
      </c>
      <c r="D29" s="131" t="str">
        <f>CONCATENATE("Dir",": ",'Composição Corporal2'!$M$31," / ","Esq",": ",'Composição Corporal2'!$O$31)</f>
        <v xml:space="preserve">Dir:  / Esq: </v>
      </c>
      <c r="E29" s="131" t="str">
        <f>CONCATENATE("Dir",": ",'Composição Corporal3'!$M$31," / ","Esq",": ",'Composição Corporal3'!$O$31)</f>
        <v xml:space="preserve">Dir:  / Esq: </v>
      </c>
      <c r="F29" s="131" t="str">
        <f>CONCATENATE("Dir",": ",'Composição Corporal4'!$M$31," / ","Esq",": ",'Composição Corporal4'!$O$31)</f>
        <v xml:space="preserve">Dir:  / Esq: </v>
      </c>
      <c r="G29" s="131" t="str">
        <f>CONCATENATE("Dir",": ",'Composição Corporal5'!$M$31," / ","Esq",": ",'Composição Corporal5'!$O$31)</f>
        <v xml:space="preserve">Dir:  / Esq: </v>
      </c>
      <c r="H29" s="131" t="str">
        <f>CONCATENATE("Dir",": ",'Composição Corporal6'!$M$31," / ","Esq",": ",'Composição Corporal6'!$O$31)</f>
        <v xml:space="preserve">Dir:  / Esq: </v>
      </c>
    </row>
    <row r="30" spans="2:8" x14ac:dyDescent="0.3">
      <c r="B30" s="166" t="s">
        <v>167</v>
      </c>
      <c r="C30" s="170" t="str">
        <f>'Composição Corporal1'!M34</f>
        <v/>
      </c>
      <c r="D30" s="170" t="str">
        <f>'Composição Corporal2'!M34</f>
        <v/>
      </c>
      <c r="E30" s="170" t="str">
        <f>'Composição Corporal3'!M34</f>
        <v/>
      </c>
      <c r="F30" s="171" t="str">
        <f>'Composição Corporal4'!M34</f>
        <v/>
      </c>
      <c r="G30" s="171" t="str">
        <f>'Composição Corporal5'!M34</f>
        <v/>
      </c>
      <c r="H30" s="171" t="str">
        <f>'Composição Corporal6'!M34</f>
        <v/>
      </c>
    </row>
    <row r="31" spans="2:8" x14ac:dyDescent="0.3">
      <c r="B31" s="166" t="s">
        <v>180</v>
      </c>
      <c r="C31" s="172" t="str">
        <f ca="1">'Composição Corporal1'!P34</f>
        <v/>
      </c>
      <c r="D31" s="173" t="str">
        <f ca="1">'Composição Corporal2'!P34</f>
        <v/>
      </c>
      <c r="E31" s="173" t="str">
        <f ca="1">'Composição Corporal3'!P34</f>
        <v/>
      </c>
      <c r="F31" s="173" t="str">
        <f ca="1">'Composição Corporal4'!P34</f>
        <v/>
      </c>
      <c r="G31" s="173" t="str">
        <f ca="1">'Composição Corporal5'!P34</f>
        <v/>
      </c>
      <c r="H31" s="173" t="str">
        <f ca="1">'Composição Corporal6'!P34</f>
        <v/>
      </c>
    </row>
    <row r="32" spans="2:8" x14ac:dyDescent="0.3">
      <c r="B32" s="163" t="s">
        <v>88</v>
      </c>
      <c r="C32" s="270"/>
      <c r="D32" s="271"/>
      <c r="E32" s="271"/>
      <c r="F32" s="271"/>
      <c r="G32" s="271"/>
      <c r="H32" s="271"/>
    </row>
    <row r="33" spans="2:8" x14ac:dyDescent="0.3">
      <c r="B33" s="166" t="s">
        <v>55</v>
      </c>
      <c r="C33" s="131">
        <f>'Força e Resistência e Aerobico'!$F$7</f>
        <v>0</v>
      </c>
      <c r="D33" s="131">
        <f>'Força e Resistência e Aerobico2'!$F$7</f>
        <v>0</v>
      </c>
      <c r="E33" s="131">
        <f>'Força e Resistência e Aerobico3'!$F$7</f>
        <v>0</v>
      </c>
      <c r="F33" s="131">
        <f>'Força e Resistência e Aerobico4'!$F$7</f>
        <v>0</v>
      </c>
      <c r="G33" s="131">
        <f>'Força e Resistência e Aerobico5'!$F$7</f>
        <v>0</v>
      </c>
      <c r="H33" s="131">
        <f>'Força e Resistência e Aerobico6'!$F$7</f>
        <v>0</v>
      </c>
    </row>
    <row r="34" spans="2:8" x14ac:dyDescent="0.3">
      <c r="B34" s="166" t="s">
        <v>54</v>
      </c>
      <c r="C34" s="167" t="str">
        <f>'Força e Resistência e Aerobico'!$F$9</f>
        <v/>
      </c>
      <c r="D34" s="167" t="str">
        <f>'Força e Resistência e Aerobico2'!$F$9</f>
        <v/>
      </c>
      <c r="E34" s="167" t="str">
        <f>'Força e Resistência e Aerobico3'!$F$9</f>
        <v/>
      </c>
      <c r="F34" s="167" t="str">
        <f>'Força e Resistência e Aerobico4'!$F$9</f>
        <v/>
      </c>
      <c r="G34" s="167" t="str">
        <f>'Força e Resistência e Aerobico5'!$F$9</f>
        <v/>
      </c>
      <c r="H34" s="167" t="str">
        <f>'Força e Resistência e Aerobico6'!$F$9</f>
        <v/>
      </c>
    </row>
    <row r="35" spans="2:8" x14ac:dyDescent="0.3">
      <c r="B35" s="163" t="s">
        <v>89</v>
      </c>
      <c r="C35" s="270"/>
      <c r="D35" s="271"/>
      <c r="E35" s="271"/>
      <c r="F35" s="271"/>
      <c r="G35" s="271"/>
      <c r="H35" s="271"/>
    </row>
    <row r="36" spans="2:8" x14ac:dyDescent="0.3">
      <c r="B36" s="166" t="s">
        <v>56</v>
      </c>
      <c r="C36" s="131">
        <f>'Força e Resistência e Aerobico'!$F$16</f>
        <v>0</v>
      </c>
      <c r="D36" s="131">
        <f>'Força e Resistência e Aerobico2'!$F$16</f>
        <v>0</v>
      </c>
      <c r="E36" s="131">
        <f>'Força e Resistência e Aerobico3'!$F$16</f>
        <v>0</v>
      </c>
      <c r="F36" s="131">
        <f>'Força e Resistência e Aerobico4'!$F$16</f>
        <v>0</v>
      </c>
      <c r="G36" s="131">
        <f>'Força e Resistência e Aerobico5'!$F$16</f>
        <v>0</v>
      </c>
      <c r="H36" s="131">
        <f>'Força e Resistência e Aerobico6'!$F$16</f>
        <v>0</v>
      </c>
    </row>
    <row r="37" spans="2:8" x14ac:dyDescent="0.3">
      <c r="B37" s="166" t="s">
        <v>54</v>
      </c>
      <c r="C37" s="167" t="str">
        <f>'Força e Resistência e Aerobico'!$F$18</f>
        <v/>
      </c>
      <c r="D37" s="167" t="str">
        <f>'Força e Resistência e Aerobico2'!$F$18</f>
        <v/>
      </c>
      <c r="E37" s="167" t="str">
        <f>'Força e Resistência e Aerobico3'!$F$18</f>
        <v/>
      </c>
      <c r="F37" s="167" t="str">
        <f>'Força e Resistência e Aerobico4'!$F$18</f>
        <v/>
      </c>
      <c r="G37" s="167" t="str">
        <f>'Força e Resistência e Aerobico5'!$F$18</f>
        <v/>
      </c>
      <c r="H37" s="167" t="str">
        <f>'Força e Resistência e Aerobico6'!$F$18</f>
        <v/>
      </c>
    </row>
    <row r="38" spans="2:8" x14ac:dyDescent="0.3">
      <c r="B38" s="163" t="s">
        <v>50</v>
      </c>
      <c r="C38" s="270"/>
      <c r="D38" s="271"/>
      <c r="E38" s="271"/>
      <c r="F38" s="271"/>
      <c r="G38" s="271"/>
      <c r="H38" s="271"/>
    </row>
    <row r="39" spans="2:8" x14ac:dyDescent="0.3">
      <c r="B39" s="166" t="s">
        <v>92</v>
      </c>
      <c r="C39" s="168">
        <f>'Força e Resistência e Aerobico'!$F$26</f>
        <v>0</v>
      </c>
      <c r="D39" s="168">
        <f>'Força e Resistência e Aerobico2'!$F$26</f>
        <v>0</v>
      </c>
      <c r="E39" s="168">
        <f>'Força e Resistência e Aerobico3'!$F$26</f>
        <v>0</v>
      </c>
      <c r="F39" s="168">
        <f>'Força e Resistência e Aerobico4'!$F$26</f>
        <v>0</v>
      </c>
      <c r="G39" s="168">
        <f>'Força e Resistência e Aerobico5'!$F$26</f>
        <v>0</v>
      </c>
      <c r="H39" s="168">
        <f>'Força e Resistência e Aerobico6'!$F$26</f>
        <v>0</v>
      </c>
    </row>
    <row r="40" spans="2:8" x14ac:dyDescent="0.3">
      <c r="B40" s="166" t="s">
        <v>54</v>
      </c>
      <c r="C40" s="167" t="str">
        <f>'Força e Resistência e Aerobico'!$F$28</f>
        <v/>
      </c>
      <c r="D40" s="167" t="str">
        <f>'Força e Resistência e Aerobico2'!$F$28</f>
        <v/>
      </c>
      <c r="E40" s="167" t="str">
        <f>'Força e Resistência e Aerobico3'!$F$28</f>
        <v/>
      </c>
      <c r="F40" s="167" t="str">
        <f>'Força e Resistência e Aerobico4'!$F$28</f>
        <v/>
      </c>
      <c r="G40" s="167" t="str">
        <f>'Força e Resistência e Aerobico5'!$F$28</f>
        <v/>
      </c>
      <c r="H40" s="167" t="str">
        <f>'Força e Resistência e Aerobico6'!$F$28</f>
        <v/>
      </c>
    </row>
    <row r="41" spans="2:8" x14ac:dyDescent="0.3">
      <c r="B41" s="163" t="s">
        <v>90</v>
      </c>
      <c r="C41" s="270"/>
      <c r="D41" s="271"/>
      <c r="E41" s="271"/>
      <c r="F41" s="271"/>
      <c r="G41" s="271"/>
      <c r="H41" s="271"/>
    </row>
    <row r="42" spans="2:8" x14ac:dyDescent="0.3">
      <c r="B42" s="169" t="s">
        <v>31</v>
      </c>
      <c r="C42" s="131">
        <f>Flexibilidade1!$O$5</f>
        <v>0</v>
      </c>
      <c r="D42" s="131">
        <f>Flexibilidade2!$O$5</f>
        <v>0</v>
      </c>
      <c r="E42" s="131">
        <f>Flexibilidade3!$O$5</f>
        <v>0</v>
      </c>
      <c r="F42" s="131">
        <f>Flexibilidade4!$O$5</f>
        <v>0</v>
      </c>
      <c r="G42" s="131">
        <f>Flexibilidade5!$O$5</f>
        <v>0</v>
      </c>
      <c r="H42" s="131">
        <f>Flexibilidade6!$O$5</f>
        <v>0</v>
      </c>
    </row>
    <row r="43" spans="2:8" x14ac:dyDescent="0.3">
      <c r="B43" s="169" t="s">
        <v>32</v>
      </c>
      <c r="C43" s="131">
        <f>Flexibilidade1!$O$6</f>
        <v>0</v>
      </c>
      <c r="D43" s="131">
        <f>Flexibilidade2!$O$6</f>
        <v>0</v>
      </c>
      <c r="E43" s="131">
        <f>Flexibilidade3!$O$6</f>
        <v>0</v>
      </c>
      <c r="F43" s="131">
        <f>Flexibilidade4!$O$6</f>
        <v>0</v>
      </c>
      <c r="G43" s="131">
        <f>Flexibilidade5!$O$6</f>
        <v>0</v>
      </c>
      <c r="H43" s="131">
        <f>Flexibilidade6!$O$6</f>
        <v>0</v>
      </c>
    </row>
    <row r="44" spans="2:8" x14ac:dyDescent="0.3">
      <c r="B44" s="169" t="s">
        <v>33</v>
      </c>
      <c r="C44" s="131">
        <f>Flexibilidade1!$O$7</f>
        <v>0</v>
      </c>
      <c r="D44" s="131">
        <f>Flexibilidade2!$O$7</f>
        <v>0</v>
      </c>
      <c r="E44" s="131">
        <f>Flexibilidade3!$O$7</f>
        <v>0</v>
      </c>
      <c r="F44" s="131">
        <f>Flexibilidade4!$O$7</f>
        <v>0</v>
      </c>
      <c r="G44" s="131">
        <f>Flexibilidade5!$O$7</f>
        <v>0</v>
      </c>
      <c r="H44" s="131">
        <f>Flexibilidade6!$O$7</f>
        <v>0</v>
      </c>
    </row>
    <row r="45" spans="2:8" x14ac:dyDescent="0.3">
      <c r="B45" s="169" t="s">
        <v>71</v>
      </c>
      <c r="C45" s="131">
        <f>Flexibilidade1!$O$8</f>
        <v>0</v>
      </c>
      <c r="D45" s="131">
        <f>Flexibilidade2!$O$8</f>
        <v>0</v>
      </c>
      <c r="E45" s="131">
        <f>Flexibilidade3!$O$8</f>
        <v>0</v>
      </c>
      <c r="F45" s="131">
        <f>Flexibilidade4!$O$8</f>
        <v>0</v>
      </c>
      <c r="G45" s="131">
        <f>Flexibilidade5!$O$8</f>
        <v>0</v>
      </c>
      <c r="H45" s="131">
        <f>Flexibilidade6!$O$8</f>
        <v>0</v>
      </c>
    </row>
    <row r="46" spans="2:8" x14ac:dyDescent="0.3">
      <c r="B46" s="169" t="s">
        <v>34</v>
      </c>
      <c r="C46" s="131">
        <f>Flexibilidade1!$O$9</f>
        <v>0</v>
      </c>
      <c r="D46" s="131">
        <f>Flexibilidade2!$O$9</f>
        <v>0</v>
      </c>
      <c r="E46" s="131">
        <f>Flexibilidade3!$O$9</f>
        <v>0</v>
      </c>
      <c r="F46" s="131">
        <f>Flexibilidade4!$O$9</f>
        <v>0</v>
      </c>
      <c r="G46" s="131">
        <f>Flexibilidade5!$O$9</f>
        <v>0</v>
      </c>
      <c r="H46" s="131">
        <f>Flexibilidade6!$O$9</f>
        <v>0</v>
      </c>
    </row>
    <row r="47" spans="2:8" x14ac:dyDescent="0.3">
      <c r="B47" s="169" t="s">
        <v>35</v>
      </c>
      <c r="C47" s="131">
        <f>Flexibilidade1!$O$10</f>
        <v>0</v>
      </c>
      <c r="D47" s="131">
        <f>Flexibilidade2!$O$10</f>
        <v>0</v>
      </c>
      <c r="E47" s="131">
        <f>Flexibilidade3!$O$10</f>
        <v>0</v>
      </c>
      <c r="F47" s="131">
        <f>Flexibilidade4!$O$10</f>
        <v>0</v>
      </c>
      <c r="G47" s="131">
        <f>Flexibilidade5!$O$10</f>
        <v>0</v>
      </c>
      <c r="H47" s="131">
        <f>Flexibilidade6!$O$10</f>
        <v>0</v>
      </c>
    </row>
    <row r="48" spans="2:8" x14ac:dyDescent="0.3">
      <c r="B48" s="169" t="s">
        <v>36</v>
      </c>
      <c r="C48" s="131">
        <f>Flexibilidade1!$O$11</f>
        <v>0</v>
      </c>
      <c r="D48" s="131">
        <f>Flexibilidade2!$O$11</f>
        <v>0</v>
      </c>
      <c r="E48" s="131">
        <f>Flexibilidade3!$O$11</f>
        <v>0</v>
      </c>
      <c r="F48" s="131">
        <f>Flexibilidade4!$O$11</f>
        <v>0</v>
      </c>
      <c r="G48" s="131">
        <f>Flexibilidade5!$O$11</f>
        <v>0</v>
      </c>
      <c r="H48" s="131">
        <f>Flexibilidade6!$O$11</f>
        <v>0</v>
      </c>
    </row>
    <row r="49" spans="2:8" x14ac:dyDescent="0.3">
      <c r="B49" s="169" t="s">
        <v>37</v>
      </c>
      <c r="C49" s="131">
        <f>Flexibilidade1!$O$12</f>
        <v>0</v>
      </c>
      <c r="D49" s="131">
        <f>Flexibilidade2!$O$12</f>
        <v>0</v>
      </c>
      <c r="E49" s="131">
        <f>Flexibilidade3!$O$12</f>
        <v>0</v>
      </c>
      <c r="F49" s="131">
        <f>Flexibilidade4!$O$12</f>
        <v>0</v>
      </c>
      <c r="G49" s="131">
        <f>Flexibilidade5!$O$12</f>
        <v>0</v>
      </c>
      <c r="H49" s="131">
        <f>Flexibilidade6!$O$12</f>
        <v>0</v>
      </c>
    </row>
    <row r="50" spans="2:8" x14ac:dyDescent="0.3">
      <c r="B50" s="169" t="s">
        <v>38</v>
      </c>
      <c r="C50" s="131">
        <f>Flexibilidade1!$O$13</f>
        <v>0</v>
      </c>
      <c r="D50" s="131">
        <f>Flexibilidade2!$O$13</f>
        <v>0</v>
      </c>
      <c r="E50" s="131">
        <f>Flexibilidade3!$O$13</f>
        <v>0</v>
      </c>
      <c r="F50" s="131">
        <f>Flexibilidade4!$O$13</f>
        <v>0</v>
      </c>
      <c r="G50" s="131">
        <f>Flexibilidade5!$O$13</f>
        <v>0</v>
      </c>
      <c r="H50" s="131">
        <f>Flexibilidade6!$O$13</f>
        <v>0</v>
      </c>
    </row>
    <row r="51" spans="2:8" x14ac:dyDescent="0.3">
      <c r="B51" s="169" t="s">
        <v>57</v>
      </c>
      <c r="C51" s="131">
        <f>Flexibilidade1!$O$14</f>
        <v>0</v>
      </c>
      <c r="D51" s="131">
        <f>Flexibilidade2!$O$14</f>
        <v>0</v>
      </c>
      <c r="E51" s="131">
        <f>Flexibilidade3!$O$14</f>
        <v>0</v>
      </c>
      <c r="F51" s="131">
        <f>Flexibilidade4!$O$14</f>
        <v>0</v>
      </c>
      <c r="G51" s="131">
        <f>Flexibilidade5!$O$14</f>
        <v>0</v>
      </c>
      <c r="H51" s="131">
        <f>Flexibilidade6!$O$14</f>
        <v>0</v>
      </c>
    </row>
    <row r="52" spans="2:8" x14ac:dyDescent="0.3">
      <c r="B52" s="169" t="s">
        <v>39</v>
      </c>
      <c r="C52" s="131">
        <f>Flexibilidade1!$O$15</f>
        <v>0</v>
      </c>
      <c r="D52" s="131">
        <f>Flexibilidade2!$O$15</f>
        <v>0</v>
      </c>
      <c r="E52" s="131">
        <f>Flexibilidade3!$O$15</f>
        <v>0</v>
      </c>
      <c r="F52" s="131">
        <f>Flexibilidade4!$O$15</f>
        <v>0</v>
      </c>
      <c r="G52" s="131">
        <f>Flexibilidade5!$O$15</f>
        <v>0</v>
      </c>
      <c r="H52" s="131">
        <f>Flexibilidade6!$O$15</f>
        <v>0</v>
      </c>
    </row>
    <row r="53" spans="2:8" x14ac:dyDescent="0.3">
      <c r="B53" s="169" t="s">
        <v>40</v>
      </c>
      <c r="C53" s="131">
        <f>Flexibilidade1!$O$16</f>
        <v>0</v>
      </c>
      <c r="D53" s="131">
        <f>Flexibilidade2!$O$16</f>
        <v>0</v>
      </c>
      <c r="E53" s="131">
        <f>Flexibilidade3!$O$16</f>
        <v>0</v>
      </c>
      <c r="F53" s="131">
        <f>Flexibilidade4!$O$16</f>
        <v>0</v>
      </c>
      <c r="G53" s="131">
        <f>Flexibilidade5!$O$16</f>
        <v>0</v>
      </c>
      <c r="H53" s="131">
        <f>Flexibilidade6!$O$16</f>
        <v>0</v>
      </c>
    </row>
    <row r="54" spans="2:8" x14ac:dyDescent="0.3">
      <c r="B54" s="169" t="s">
        <v>41</v>
      </c>
      <c r="C54" s="131">
        <f>Flexibilidade1!$O$17</f>
        <v>0</v>
      </c>
      <c r="D54" s="131">
        <f>Flexibilidade2!$O$17</f>
        <v>0</v>
      </c>
      <c r="E54" s="131">
        <f>Flexibilidade3!$O$17</f>
        <v>0</v>
      </c>
      <c r="F54" s="131">
        <f>Flexibilidade4!$O$17</f>
        <v>0</v>
      </c>
      <c r="G54" s="131">
        <f>Flexibilidade5!$O$17</f>
        <v>0</v>
      </c>
      <c r="H54" s="131">
        <f>Flexibilidade6!$O$17</f>
        <v>0</v>
      </c>
    </row>
    <row r="55" spans="2:8" x14ac:dyDescent="0.3">
      <c r="B55" s="169" t="s">
        <v>42</v>
      </c>
      <c r="C55" s="131">
        <f>Flexibilidade1!$O$18</f>
        <v>0</v>
      </c>
      <c r="D55" s="131">
        <f>Flexibilidade2!$O$18</f>
        <v>0</v>
      </c>
      <c r="E55" s="131">
        <f>Flexibilidade3!$O$18</f>
        <v>0</v>
      </c>
      <c r="F55" s="131">
        <f>Flexibilidade4!$O$18</f>
        <v>0</v>
      </c>
      <c r="G55" s="131">
        <f>Flexibilidade5!$O$18</f>
        <v>0</v>
      </c>
      <c r="H55" s="131">
        <f>Flexibilidade6!$O$18</f>
        <v>0</v>
      </c>
    </row>
    <row r="56" spans="2:8" x14ac:dyDescent="0.3">
      <c r="B56" s="169" t="s">
        <v>43</v>
      </c>
      <c r="C56" s="131">
        <f>Flexibilidade1!$O$19</f>
        <v>0</v>
      </c>
      <c r="D56" s="131">
        <f>Flexibilidade2!$O$19</f>
        <v>0</v>
      </c>
      <c r="E56" s="131">
        <f>Flexibilidade3!$O$19</f>
        <v>0</v>
      </c>
      <c r="F56" s="131">
        <f>Flexibilidade4!$O$19</f>
        <v>0</v>
      </c>
      <c r="G56" s="131">
        <f>Flexibilidade5!$O$19</f>
        <v>0</v>
      </c>
      <c r="H56" s="131">
        <f>Flexibilidade6!$O$19</f>
        <v>0</v>
      </c>
    </row>
    <row r="57" spans="2:8" ht="28.8" x14ac:dyDescent="0.3">
      <c r="B57" s="169" t="s">
        <v>44</v>
      </c>
      <c r="C57" s="131">
        <f>Flexibilidade1!$O$20</f>
        <v>0</v>
      </c>
      <c r="D57" s="131">
        <f>Flexibilidade2!$O$20</f>
        <v>0</v>
      </c>
      <c r="E57" s="131">
        <f>Flexibilidade3!$O$20</f>
        <v>0</v>
      </c>
      <c r="F57" s="131">
        <f>Flexibilidade4!$O$20</f>
        <v>0</v>
      </c>
      <c r="G57" s="131">
        <f>Flexibilidade5!$O$20</f>
        <v>0</v>
      </c>
      <c r="H57" s="131">
        <f>Flexibilidade6!$O$20</f>
        <v>0</v>
      </c>
    </row>
    <row r="58" spans="2:8" ht="28.8" x14ac:dyDescent="0.3">
      <c r="B58" s="169" t="s">
        <v>45</v>
      </c>
      <c r="C58" s="131">
        <f>Flexibilidade1!$O$21</f>
        <v>0</v>
      </c>
      <c r="D58" s="131">
        <f>Flexibilidade2!$O$21</f>
        <v>0</v>
      </c>
      <c r="E58" s="131">
        <f>Flexibilidade3!$O$21</f>
        <v>0</v>
      </c>
      <c r="F58" s="131">
        <f>Flexibilidade4!$O$21</f>
        <v>0</v>
      </c>
      <c r="G58" s="131">
        <f>Flexibilidade5!$O$21</f>
        <v>0</v>
      </c>
      <c r="H58" s="131">
        <f>Flexibilidade6!$O$21</f>
        <v>0</v>
      </c>
    </row>
    <row r="59" spans="2:8" x14ac:dyDescent="0.3">
      <c r="B59" s="169" t="s">
        <v>46</v>
      </c>
      <c r="C59" s="131">
        <f>Flexibilidade1!$O$22</f>
        <v>0</v>
      </c>
      <c r="D59" s="131">
        <f>Flexibilidade2!$O$22</f>
        <v>0</v>
      </c>
      <c r="E59" s="131">
        <f>Flexibilidade3!$O$22</f>
        <v>0</v>
      </c>
      <c r="F59" s="131">
        <f>Flexibilidade4!$O$22</f>
        <v>0</v>
      </c>
      <c r="G59" s="131">
        <f>Flexibilidade5!$O$22</f>
        <v>0</v>
      </c>
      <c r="H59" s="131">
        <f>Flexibilidade6!$O$22</f>
        <v>0</v>
      </c>
    </row>
    <row r="60" spans="2:8" ht="28.8" x14ac:dyDescent="0.3">
      <c r="B60" s="169" t="s">
        <v>47</v>
      </c>
      <c r="C60" s="131">
        <f>Flexibilidade1!$O$23</f>
        <v>0</v>
      </c>
      <c r="D60" s="131">
        <f>Flexibilidade2!$O$23</f>
        <v>0</v>
      </c>
      <c r="E60" s="131">
        <f>Flexibilidade3!$O$23</f>
        <v>0</v>
      </c>
      <c r="F60" s="131">
        <f>Flexibilidade4!$O$23</f>
        <v>0</v>
      </c>
      <c r="G60" s="131">
        <f>Flexibilidade5!$O$23</f>
        <v>0</v>
      </c>
      <c r="H60" s="131">
        <f>Flexibilidade6!$O$23</f>
        <v>0</v>
      </c>
    </row>
    <row r="61" spans="2:8" ht="28.8" x14ac:dyDescent="0.3">
      <c r="B61" s="169" t="s">
        <v>48</v>
      </c>
      <c r="C61" s="131">
        <f>Flexibilidade1!$O$24</f>
        <v>0</v>
      </c>
      <c r="D61" s="131">
        <f>Flexibilidade2!$O$24</f>
        <v>0</v>
      </c>
      <c r="E61" s="131">
        <f>Flexibilidade3!$O$24</f>
        <v>0</v>
      </c>
      <c r="F61" s="131">
        <f>Flexibilidade4!$O$24</f>
        <v>0</v>
      </c>
      <c r="G61" s="131">
        <f>Flexibilidade5!$O$24</f>
        <v>0</v>
      </c>
      <c r="H61" s="131">
        <f>Flexibilidade6!$O$24</f>
        <v>0</v>
      </c>
    </row>
    <row r="62" spans="2:8" x14ac:dyDescent="0.3">
      <c r="B62" s="169" t="s">
        <v>49</v>
      </c>
      <c r="C62" s="143">
        <f>Flexibilidade1!$O$26</f>
        <v>0</v>
      </c>
      <c r="D62" s="143">
        <f>Flexibilidade2!$O$26</f>
        <v>0</v>
      </c>
      <c r="E62" s="143">
        <f>Flexibilidade3!$O$26</f>
        <v>0</v>
      </c>
      <c r="F62" s="143">
        <f>Flexibilidade4!$O$26</f>
        <v>0</v>
      </c>
      <c r="G62" s="143">
        <f>Flexibilidade5!$O$26</f>
        <v>0</v>
      </c>
      <c r="H62" s="143">
        <f>Flexibilidade6!$O$26</f>
        <v>0</v>
      </c>
    </row>
    <row r="63" spans="2:8" ht="28.8" x14ac:dyDescent="0.3">
      <c r="B63" s="169" t="s">
        <v>188</v>
      </c>
      <c r="C63" s="143" t="str">
        <f>Flexibilidade1!N28</f>
        <v/>
      </c>
      <c r="D63" s="143" t="str">
        <f>Flexibilidade2!N28</f>
        <v/>
      </c>
      <c r="E63" s="143" t="str">
        <f>Flexibilidade3!N28</f>
        <v/>
      </c>
      <c r="F63" s="143" t="str">
        <f>Flexibilidade4!N28</f>
        <v/>
      </c>
      <c r="G63" s="143" t="str">
        <f>Flexibilidade5!N28</f>
        <v/>
      </c>
      <c r="H63" s="143" t="str">
        <f>Flexibilidade6!N28</f>
        <v/>
      </c>
    </row>
    <row r="64" spans="2:8" x14ac:dyDescent="0.3">
      <c r="B64" s="163" t="s">
        <v>156</v>
      </c>
      <c r="C64" s="267"/>
      <c r="D64" s="267"/>
      <c r="E64" s="267"/>
      <c r="F64" s="267"/>
      <c r="G64" s="267"/>
      <c r="H64" s="267"/>
    </row>
    <row r="65" spans="2:8" x14ac:dyDescent="0.3">
      <c r="B65" s="169" t="s">
        <v>154</v>
      </c>
      <c r="C65" s="174" t="str">
        <f>'Composição Corporal1'!C42</f>
        <v/>
      </c>
      <c r="D65" s="174" t="str">
        <f>'Composição Corporal2'!C42</f>
        <v/>
      </c>
      <c r="E65" s="174" t="str">
        <f>'Composição Corporal3'!C42</f>
        <v/>
      </c>
      <c r="F65" s="174" t="str">
        <f>'Composição Corporal4'!C42</f>
        <v/>
      </c>
      <c r="G65" s="174" t="str">
        <f>'Composição Corporal5'!C42</f>
        <v/>
      </c>
      <c r="H65" s="174" t="str">
        <f>IFERROR('Composição Corporal6'!C42,"")</f>
        <v/>
      </c>
    </row>
    <row r="66" spans="2:8" x14ac:dyDescent="0.3">
      <c r="B66" s="169" t="s">
        <v>157</v>
      </c>
      <c r="C66" s="175" t="str">
        <f>IFERROR('Composição Corporal1'!C44,"")</f>
        <v/>
      </c>
      <c r="D66" s="175" t="str">
        <f>IFERROR('Composição Corporal2'!C44,"")</f>
        <v/>
      </c>
      <c r="E66" s="175" t="str">
        <f>IFERROR('Composição Corporal3'!C44,"")</f>
        <v/>
      </c>
      <c r="F66" s="175" t="str">
        <f>IFERROR('Composição Corporal4'!C44,"")</f>
        <v/>
      </c>
      <c r="G66" s="175" t="str">
        <f>IFERROR('Composição Corporal5'!C44,"")</f>
        <v/>
      </c>
      <c r="H66" s="175" t="str">
        <f>IFERROR('Composição Corporal6'!C44,"")</f>
        <v/>
      </c>
    </row>
    <row r="67" spans="2:8" x14ac:dyDescent="0.3">
      <c r="B67" s="169" t="s">
        <v>158</v>
      </c>
      <c r="C67" s="175" t="str">
        <f>IFERROR('Composição Corporal1'!C46,"")</f>
        <v/>
      </c>
      <c r="D67" s="175" t="str">
        <f>IFERROR('Composição Corporal2'!C46,"")</f>
        <v/>
      </c>
      <c r="E67" s="175" t="str">
        <f>IFERROR('Composição Corporal3'!C46,"")</f>
        <v/>
      </c>
      <c r="F67" s="175" t="str">
        <f>IFERROR('Composição Corporal4'!C46,"")</f>
        <v/>
      </c>
      <c r="G67" s="175" t="str">
        <f>IFERROR('Composição Corporal5'!C46,"")</f>
        <v/>
      </c>
      <c r="H67" s="175" t="str">
        <f>IFERROR('Composição Corporal6'!C46,"")</f>
        <v/>
      </c>
    </row>
    <row r="68" spans="2:8" x14ac:dyDescent="0.3">
      <c r="B68" s="169" t="s">
        <v>159</v>
      </c>
      <c r="C68" s="175" t="str">
        <f>IFERROR('Composição Corporal1'!C48,"")</f>
        <v/>
      </c>
      <c r="D68" s="175" t="str">
        <f>IFERROR('Composição Corporal2'!C48,"")</f>
        <v/>
      </c>
      <c r="E68" s="175" t="str">
        <f>IFERROR('Composição Corporal3'!C48,"")</f>
        <v/>
      </c>
      <c r="F68" s="175" t="str">
        <f>IFERROR('Composição Corporal4'!C48,"")</f>
        <v/>
      </c>
      <c r="G68" s="175" t="str">
        <f>IFERROR('Composição Corporal5'!C48,"")</f>
        <v/>
      </c>
      <c r="H68" s="175" t="str">
        <f>IFERROR('Composição Corporal6'!C48,"")</f>
        <v/>
      </c>
    </row>
    <row r="69" spans="2:8" x14ac:dyDescent="0.3">
      <c r="B69" s="169" t="s">
        <v>160</v>
      </c>
      <c r="C69" s="175">
        <f>'Composição Corporal1'!H42</f>
        <v>0</v>
      </c>
      <c r="D69" s="175">
        <f>'Composição Corporal2'!H42</f>
        <v>0</v>
      </c>
      <c r="E69" s="175">
        <f>'Composição Corporal3'!H42</f>
        <v>0</v>
      </c>
      <c r="F69" s="175">
        <f>'Composição Corporal4'!H42</f>
        <v>0</v>
      </c>
      <c r="G69" s="175">
        <f>'Composição Corporal5'!H42</f>
        <v>0</v>
      </c>
      <c r="H69" s="175">
        <f>'Composição Corporal6'!H42</f>
        <v>0</v>
      </c>
    </row>
    <row r="70" spans="2:8" x14ac:dyDescent="0.3">
      <c r="B70" s="169" t="s">
        <v>161</v>
      </c>
      <c r="C70" s="175">
        <f>'Composição Corporal1'!H44</f>
        <v>0</v>
      </c>
      <c r="D70" s="175">
        <f>'Composição Corporal2'!H44</f>
        <v>0</v>
      </c>
      <c r="E70" s="175">
        <f>'Composição Corporal3'!H44</f>
        <v>0</v>
      </c>
      <c r="F70" s="175">
        <f>'Composição Corporal4'!H44</f>
        <v>0</v>
      </c>
      <c r="G70" s="175">
        <f>'Composição Corporal5'!H44</f>
        <v>0</v>
      </c>
      <c r="H70" s="175">
        <f>'Composição Corporal6'!H44</f>
        <v>0</v>
      </c>
    </row>
    <row r="71" spans="2:8" x14ac:dyDescent="0.3">
      <c r="B71" s="169" t="s">
        <v>155</v>
      </c>
      <c r="C71" s="143" t="str">
        <f>'Composição Corporal1'!H46</f>
        <v/>
      </c>
      <c r="D71" s="143" t="str">
        <f>'Composição Corporal2'!H46</f>
        <v/>
      </c>
      <c r="E71" s="143" t="str">
        <f>'Composição Corporal3'!H46</f>
        <v/>
      </c>
      <c r="F71" s="143" t="str">
        <f>'Composição Corporal4'!H46</f>
        <v/>
      </c>
      <c r="G71" s="143" t="str">
        <f>'Composição Corporal5'!H46</f>
        <v/>
      </c>
      <c r="H71" s="143" t="str">
        <f>'Composição Corporal6'!H46</f>
        <v/>
      </c>
    </row>
    <row r="77" spans="2:8" x14ac:dyDescent="0.3">
      <c r="B77" s="14" t="s">
        <v>163</v>
      </c>
      <c r="C77" s="122"/>
      <c r="D77" s="122"/>
      <c r="E77" s="122"/>
      <c r="F77" s="122"/>
      <c r="G77" s="122"/>
    </row>
  </sheetData>
  <mergeCells count="9">
    <mergeCell ref="B2:H2"/>
    <mergeCell ref="C3:F3"/>
    <mergeCell ref="C64:H64"/>
    <mergeCell ref="C9:H9"/>
    <mergeCell ref="C20:H20"/>
    <mergeCell ref="C38:H38"/>
    <mergeCell ref="C35:H35"/>
    <mergeCell ref="C32:H32"/>
    <mergeCell ref="C41:H41"/>
  </mergeCells>
  <printOptions horizontalCentered="1"/>
  <pageMargins left="0.15748031496062992" right="0.15748031496062992" top="0.15748031496062992" bottom="0.15748031496062992" header="0.31496062992125984" footer="0.31496062992125984"/>
  <pageSetup paperSize="9" scale="6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L38"/>
  <sheetViews>
    <sheetView showGridLines="0" zoomScale="130" zoomScaleNormal="130" workbookViewId="0"/>
  </sheetViews>
  <sheetFormatPr defaultColWidth="9.109375" defaultRowHeight="14.4" x14ac:dyDescent="0.3"/>
  <cols>
    <col min="1" max="1" width="3.33203125" customWidth="1"/>
    <col min="2" max="2" width="3.44140625" customWidth="1"/>
    <col min="3" max="3" width="22.109375" customWidth="1"/>
    <col min="4" max="4" width="0.5546875" customWidth="1"/>
    <col min="5" max="5" width="29.33203125" customWidth="1"/>
    <col min="6" max="6" width="5.6640625" customWidth="1"/>
  </cols>
  <sheetData>
    <row r="1" spans="2:12" ht="45" customHeight="1" x14ac:dyDescent="0.3"/>
    <row r="3" spans="2:12" ht="9" customHeight="1" x14ac:dyDescent="0.3"/>
    <row r="4" spans="2:12" ht="16.2" thickBot="1" x14ac:dyDescent="0.35">
      <c r="B4" s="207" t="s">
        <v>193</v>
      </c>
      <c r="C4" s="207"/>
    </row>
    <row r="5" spans="2:12" ht="16.8" customHeight="1" x14ac:dyDescent="0.3">
      <c r="B5" s="20"/>
      <c r="C5" s="125"/>
      <c r="D5" s="125"/>
      <c r="E5" s="21"/>
      <c r="F5" s="22"/>
      <c r="H5" s="217" t="s">
        <v>194</v>
      </c>
      <c r="I5" s="217"/>
      <c r="J5" s="217"/>
      <c r="K5" s="217"/>
      <c r="L5" s="217"/>
    </row>
    <row r="6" spans="2:12" ht="21" customHeight="1" x14ac:dyDescent="0.35">
      <c r="B6" s="15"/>
      <c r="C6" s="126" t="s">
        <v>0</v>
      </c>
      <c r="D6" s="35"/>
      <c r="E6" s="123" t="s">
        <v>234</v>
      </c>
      <c r="F6" s="16"/>
      <c r="H6" s="208" t="s">
        <v>195</v>
      </c>
      <c r="I6" s="209"/>
      <c r="J6" s="209"/>
      <c r="K6" s="209"/>
      <c r="L6" s="210"/>
    </row>
    <row r="7" spans="2:12" ht="3.9" customHeight="1" x14ac:dyDescent="0.35">
      <c r="B7" s="15"/>
      <c r="C7" s="127"/>
      <c r="D7" s="35"/>
      <c r="E7" s="128"/>
      <c r="F7" s="16"/>
      <c r="H7" s="211"/>
      <c r="I7" s="212"/>
      <c r="J7" s="212"/>
      <c r="K7" s="212"/>
      <c r="L7" s="213"/>
    </row>
    <row r="8" spans="2:12" ht="21" x14ac:dyDescent="0.35">
      <c r="B8" s="15"/>
      <c r="C8" s="126" t="s">
        <v>1</v>
      </c>
      <c r="D8" s="35"/>
      <c r="E8" s="123" t="s">
        <v>125</v>
      </c>
      <c r="F8" s="16"/>
      <c r="H8" s="211"/>
      <c r="I8" s="212"/>
      <c r="J8" s="212"/>
      <c r="K8" s="212"/>
      <c r="L8" s="213"/>
    </row>
    <row r="9" spans="2:12" ht="3.9" customHeight="1" x14ac:dyDescent="0.35">
      <c r="B9" s="15"/>
      <c r="C9" s="127"/>
      <c r="D9" s="35"/>
      <c r="E9" s="128"/>
      <c r="F9" s="16"/>
      <c r="H9" s="211"/>
      <c r="I9" s="212"/>
      <c r="J9" s="212"/>
      <c r="K9" s="212"/>
      <c r="L9" s="213"/>
    </row>
    <row r="10" spans="2:12" ht="21" x14ac:dyDescent="0.35">
      <c r="B10" s="15"/>
      <c r="C10" s="126" t="s">
        <v>2</v>
      </c>
      <c r="D10" s="35"/>
      <c r="E10" s="124">
        <v>31605</v>
      </c>
      <c r="F10" s="16"/>
      <c r="H10" s="211"/>
      <c r="I10" s="212"/>
      <c r="J10" s="212"/>
      <c r="K10" s="212"/>
      <c r="L10" s="213"/>
    </row>
    <row r="11" spans="2:12" ht="3.9" customHeight="1" x14ac:dyDescent="0.35">
      <c r="B11" s="15"/>
      <c r="C11" s="127"/>
      <c r="D11" s="35"/>
      <c r="E11" s="128"/>
      <c r="F11" s="16"/>
      <c r="H11" s="211"/>
      <c r="I11" s="212"/>
      <c r="J11" s="212"/>
      <c r="K11" s="212"/>
      <c r="L11" s="213"/>
    </row>
    <row r="12" spans="2:12" ht="21" x14ac:dyDescent="0.35">
      <c r="B12" s="15"/>
      <c r="C12" s="126" t="s">
        <v>3</v>
      </c>
      <c r="D12" s="35"/>
      <c r="E12" s="130">
        <f ca="1">IF(E10="","",INT((TODAY()-E10)/365.25))</f>
        <v>36</v>
      </c>
      <c r="F12" s="16"/>
      <c r="H12" s="211"/>
      <c r="I12" s="212"/>
      <c r="J12" s="212"/>
      <c r="K12" s="212"/>
      <c r="L12" s="213"/>
    </row>
    <row r="13" spans="2:12" x14ac:dyDescent="0.3">
      <c r="B13" s="17"/>
      <c r="C13" s="18"/>
      <c r="D13" s="18"/>
      <c r="E13" s="18"/>
      <c r="F13" s="19"/>
      <c r="H13" s="214"/>
      <c r="I13" s="215"/>
      <c r="J13" s="215"/>
      <c r="K13" s="215"/>
      <c r="L13" s="216"/>
    </row>
    <row r="14" spans="2:12" x14ac:dyDescent="0.3">
      <c r="E14" s="129"/>
      <c r="H14" s="144"/>
      <c r="I14" s="144"/>
      <c r="J14" s="144"/>
      <c r="K14" s="144"/>
      <c r="L14" s="144"/>
    </row>
    <row r="38" spans="8:8" x14ac:dyDescent="0.3">
      <c r="H38">
        <f>IF(,F72*0.209,F72*0.241)</f>
        <v>0</v>
      </c>
    </row>
  </sheetData>
  <sheetProtection selectLockedCells="1"/>
  <mergeCells count="3">
    <mergeCell ref="B4:C4"/>
    <mergeCell ref="H6:L13"/>
    <mergeCell ref="H5:L5"/>
  </mergeCells>
  <dataValidations count="1">
    <dataValidation type="list" allowBlank="1" showInputMessage="1" showErrorMessage="1" sqref="E8" xr:uid="{00000000-0002-0000-0100-000000000000}">
      <formula1>"Masculino, Feminino"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1:H52"/>
  <sheetViews>
    <sheetView showGridLines="0" showRowColHeaders="0" zoomScale="110" zoomScaleNormal="110" workbookViewId="0">
      <selection activeCell="K4" sqref="K4"/>
    </sheetView>
  </sheetViews>
  <sheetFormatPr defaultRowHeight="14.4" x14ac:dyDescent="0.3"/>
  <cols>
    <col min="1" max="1" width="3.33203125" customWidth="1"/>
    <col min="2" max="2" width="3.109375" customWidth="1"/>
    <col min="3" max="3" width="57.88671875" style="2" customWidth="1"/>
    <col min="4" max="4" width="1.33203125" customWidth="1"/>
    <col min="5" max="5" width="9.33203125" customWidth="1"/>
    <col min="6" max="6" width="1.6640625" customWidth="1"/>
    <col min="8" max="8" width="5" customWidth="1"/>
  </cols>
  <sheetData>
    <row r="1" spans="2:8" ht="57" customHeight="1" x14ac:dyDescent="0.3"/>
    <row r="3" spans="2:8" ht="18.75" customHeight="1" thickBot="1" x14ac:dyDescent="0.35"/>
    <row r="4" spans="2:8" x14ac:dyDescent="0.3">
      <c r="B4" s="20"/>
      <c r="C4" s="25"/>
      <c r="D4" s="21"/>
      <c r="E4" s="21"/>
      <c r="F4" s="21"/>
      <c r="G4" s="21"/>
      <c r="H4" s="22"/>
    </row>
    <row r="5" spans="2:8" x14ac:dyDescent="0.3">
      <c r="B5" s="15"/>
      <c r="C5" s="14" t="s">
        <v>53</v>
      </c>
      <c r="E5" s="12"/>
      <c r="H5" s="16"/>
    </row>
    <row r="6" spans="2:8" ht="5.0999999999999996" customHeight="1" x14ac:dyDescent="0.3">
      <c r="B6" s="15"/>
      <c r="C6" s="14"/>
      <c r="H6" s="16"/>
    </row>
    <row r="7" spans="2:8" x14ac:dyDescent="0.3">
      <c r="B7" s="15"/>
      <c r="C7" s="14" t="s">
        <v>19</v>
      </c>
      <c r="E7" s="12"/>
      <c r="H7" s="16"/>
    </row>
    <row r="8" spans="2:8" ht="5.0999999999999996" customHeight="1" x14ac:dyDescent="0.3">
      <c r="B8" s="15"/>
      <c r="C8" s="14"/>
      <c r="H8" s="16"/>
    </row>
    <row r="9" spans="2:8" x14ac:dyDescent="0.3">
      <c r="B9" s="15"/>
      <c r="C9" s="14" t="s">
        <v>18</v>
      </c>
      <c r="E9" s="12"/>
      <c r="H9" s="16"/>
    </row>
    <row r="10" spans="2:8" ht="5.0999999999999996" customHeight="1" x14ac:dyDescent="0.3">
      <c r="B10" s="15"/>
      <c r="C10" s="14"/>
      <c r="H10" s="16"/>
    </row>
    <row r="11" spans="2:8" x14ac:dyDescent="0.3">
      <c r="B11" s="15"/>
      <c r="C11" s="14" t="s">
        <v>17</v>
      </c>
      <c r="E11" s="12"/>
      <c r="H11" s="16"/>
    </row>
    <row r="12" spans="2:8" ht="5.0999999999999996" customHeight="1" x14ac:dyDescent="0.3">
      <c r="B12" s="15"/>
      <c r="C12" s="14"/>
      <c r="H12" s="16"/>
    </row>
    <row r="13" spans="2:8" x14ac:dyDescent="0.3">
      <c r="B13" s="15"/>
      <c r="C13" s="14" t="s">
        <v>16</v>
      </c>
      <c r="E13" s="12"/>
      <c r="H13" s="16"/>
    </row>
    <row r="14" spans="2:8" ht="5.0999999999999996" customHeight="1" x14ac:dyDescent="0.3">
      <c r="B14" s="15"/>
      <c r="C14" s="14"/>
      <c r="H14" s="16"/>
    </row>
    <row r="15" spans="2:8" x14ac:dyDescent="0.3">
      <c r="B15" s="15"/>
      <c r="C15" s="14" t="s">
        <v>15</v>
      </c>
      <c r="E15" s="12"/>
      <c r="H15" s="16"/>
    </row>
    <row r="16" spans="2:8" ht="5.0999999999999996" customHeight="1" x14ac:dyDescent="0.3">
      <c r="B16" s="15"/>
      <c r="C16" s="14"/>
      <c r="H16" s="16"/>
    </row>
    <row r="17" spans="2:8" ht="14.25" customHeight="1" x14ac:dyDescent="0.3">
      <c r="B17" s="15"/>
      <c r="C17" s="14" t="s">
        <v>14</v>
      </c>
      <c r="E17" s="12"/>
      <c r="H17" s="16"/>
    </row>
    <row r="18" spans="2:8" ht="5.0999999999999996" customHeight="1" x14ac:dyDescent="0.3">
      <c r="B18" s="15"/>
      <c r="C18" s="14"/>
      <c r="H18" s="16"/>
    </row>
    <row r="19" spans="2:8" x14ac:dyDescent="0.3">
      <c r="B19" s="15"/>
      <c r="C19" s="14" t="s">
        <v>11</v>
      </c>
      <c r="E19" s="12"/>
      <c r="H19" s="16"/>
    </row>
    <row r="20" spans="2:8" ht="5.0999999999999996" customHeight="1" x14ac:dyDescent="0.3">
      <c r="B20" s="15"/>
      <c r="C20" s="14"/>
      <c r="H20" s="16"/>
    </row>
    <row r="21" spans="2:8" x14ac:dyDescent="0.3">
      <c r="B21" s="15"/>
      <c r="C21" s="14" t="s">
        <v>12</v>
      </c>
      <c r="E21" s="12"/>
      <c r="H21" s="16"/>
    </row>
    <row r="22" spans="2:8" ht="5.0999999999999996" customHeight="1" x14ac:dyDescent="0.3">
      <c r="B22" s="15"/>
      <c r="C22" s="14"/>
      <c r="H22" s="16"/>
    </row>
    <row r="23" spans="2:8" x14ac:dyDescent="0.3">
      <c r="B23" s="15"/>
      <c r="C23" s="14" t="s">
        <v>13</v>
      </c>
      <c r="E23" s="12"/>
      <c r="H23" s="16"/>
    </row>
    <row r="24" spans="2:8" ht="4.5" customHeight="1" x14ac:dyDescent="0.3">
      <c r="B24" s="15"/>
      <c r="C24" s="14"/>
      <c r="H24" s="16"/>
    </row>
    <row r="25" spans="2:8" x14ac:dyDescent="0.3">
      <c r="B25" s="15"/>
      <c r="C25" s="14"/>
      <c r="H25" s="16"/>
    </row>
    <row r="26" spans="2:8" x14ac:dyDescent="0.3">
      <c r="B26" s="15"/>
      <c r="C26" s="14" t="s">
        <v>20</v>
      </c>
      <c r="E26" s="12"/>
      <c r="F26" s="1"/>
      <c r="G26" s="1"/>
      <c r="H26" s="16"/>
    </row>
    <row r="27" spans="2:8" ht="5.0999999999999996" customHeight="1" x14ac:dyDescent="0.3">
      <c r="B27" s="15"/>
      <c r="C27" s="14"/>
      <c r="D27" s="1"/>
      <c r="E27" s="1"/>
      <c r="F27" s="1"/>
      <c r="G27" s="1"/>
      <c r="H27" s="16"/>
    </row>
    <row r="28" spans="2:8" x14ac:dyDescent="0.3">
      <c r="B28" s="15"/>
      <c r="C28" s="14" t="s">
        <v>51</v>
      </c>
      <c r="E28" s="219"/>
      <c r="F28" s="219"/>
      <c r="G28" s="219"/>
      <c r="H28" s="16"/>
    </row>
    <row r="29" spans="2:8" ht="5.0999999999999996" customHeight="1" x14ac:dyDescent="0.3">
      <c r="B29" s="15"/>
      <c r="C29" s="14"/>
      <c r="D29" s="1"/>
      <c r="E29" s="1"/>
      <c r="F29" s="1"/>
      <c r="G29" s="1"/>
      <c r="H29" s="16"/>
    </row>
    <row r="30" spans="2:8" x14ac:dyDescent="0.3">
      <c r="B30" s="15"/>
      <c r="C30" s="14" t="s">
        <v>4</v>
      </c>
      <c r="E30" s="219"/>
      <c r="F30" s="219"/>
      <c r="G30" s="219"/>
      <c r="H30" s="16"/>
    </row>
    <row r="31" spans="2:8" x14ac:dyDescent="0.3">
      <c r="B31" s="17"/>
      <c r="C31" s="27"/>
      <c r="D31" s="28"/>
      <c r="E31" s="28"/>
      <c r="F31" s="28"/>
      <c r="G31" s="28"/>
      <c r="H31" s="19"/>
    </row>
    <row r="32" spans="2:8" x14ac:dyDescent="0.3">
      <c r="C32" s="3"/>
      <c r="D32" s="1"/>
      <c r="E32" s="1"/>
      <c r="F32" s="1"/>
      <c r="G32" s="1"/>
    </row>
    <row r="33" spans="2:8" ht="21.6" thickBot="1" x14ac:dyDescent="0.45">
      <c r="B33" s="6"/>
      <c r="C33" s="7"/>
      <c r="D33" s="6"/>
    </row>
    <row r="34" spans="2:8" x14ac:dyDescent="0.3">
      <c r="B34" s="20"/>
      <c r="C34" s="25"/>
      <c r="D34" s="21"/>
      <c r="E34" s="21"/>
      <c r="F34" s="21"/>
      <c r="G34" s="21"/>
      <c r="H34" s="22"/>
    </row>
    <row r="35" spans="2:8" ht="15" customHeight="1" x14ac:dyDescent="0.3">
      <c r="B35" s="15"/>
      <c r="C35" s="218" t="s">
        <v>5</v>
      </c>
      <c r="D35" s="218"/>
      <c r="E35" s="218"/>
      <c r="H35" s="16"/>
    </row>
    <row r="36" spans="2:8" x14ac:dyDescent="0.3">
      <c r="B36" s="15"/>
      <c r="C36" s="218"/>
      <c r="D36" s="218"/>
      <c r="E36" s="218"/>
      <c r="G36" s="12"/>
      <c r="H36" s="16"/>
    </row>
    <row r="37" spans="2:8" ht="5.0999999999999996" customHeight="1" x14ac:dyDescent="0.3">
      <c r="B37" s="15"/>
      <c r="C37" s="3"/>
      <c r="D37" s="1"/>
      <c r="E37" s="1"/>
      <c r="H37" s="16"/>
    </row>
    <row r="38" spans="2:8" x14ac:dyDescent="0.3">
      <c r="B38" s="15"/>
      <c r="C38" s="220" t="s">
        <v>6</v>
      </c>
      <c r="D38" s="220"/>
      <c r="E38" s="220"/>
      <c r="G38" s="2"/>
      <c r="H38" s="16"/>
    </row>
    <row r="39" spans="2:8" ht="13.5" customHeight="1" x14ac:dyDescent="0.3">
      <c r="B39" s="15"/>
      <c r="C39" s="220"/>
      <c r="D39" s="220"/>
      <c r="E39" s="220"/>
      <c r="G39" s="12"/>
      <c r="H39" s="16"/>
    </row>
    <row r="40" spans="2:8" ht="5.0999999999999996" customHeight="1" x14ac:dyDescent="0.3">
      <c r="B40" s="15"/>
      <c r="C40" s="221" t="s">
        <v>7</v>
      </c>
      <c r="D40" s="221"/>
      <c r="E40" s="221"/>
      <c r="H40" s="16"/>
    </row>
    <row r="41" spans="2:8" x14ac:dyDescent="0.3">
      <c r="B41" s="15"/>
      <c r="C41" s="221"/>
      <c r="D41" s="221"/>
      <c r="E41" s="221"/>
      <c r="G41" s="12"/>
      <c r="H41" s="16"/>
    </row>
    <row r="42" spans="2:8" ht="5.0999999999999996" customHeight="1" x14ac:dyDescent="0.3">
      <c r="B42" s="15"/>
      <c r="C42" s="218" t="s">
        <v>8</v>
      </c>
      <c r="D42" s="218"/>
      <c r="E42" s="218"/>
      <c r="H42" s="16"/>
    </row>
    <row r="43" spans="2:8" x14ac:dyDescent="0.3">
      <c r="B43" s="15"/>
      <c r="C43" s="218"/>
      <c r="D43" s="218"/>
      <c r="E43" s="218"/>
      <c r="G43" s="12"/>
      <c r="H43" s="16"/>
    </row>
    <row r="44" spans="2:8" ht="5.0999999999999996" customHeight="1" x14ac:dyDescent="0.3">
      <c r="B44" s="15"/>
      <c r="C44" s="23"/>
      <c r="D44" s="24"/>
      <c r="E44" s="24"/>
      <c r="H44" s="16"/>
    </row>
    <row r="45" spans="2:8" x14ac:dyDescent="0.3">
      <c r="B45" s="15"/>
      <c r="C45" s="218" t="s">
        <v>9</v>
      </c>
      <c r="D45" s="218"/>
      <c r="E45" s="218"/>
      <c r="H45" s="16"/>
    </row>
    <row r="46" spans="2:8" x14ac:dyDescent="0.3">
      <c r="B46" s="15"/>
      <c r="C46" s="218"/>
      <c r="D46" s="218"/>
      <c r="E46" s="218"/>
      <c r="G46" s="12"/>
      <c r="H46" s="16"/>
    </row>
    <row r="47" spans="2:8" ht="5.0999999999999996" customHeight="1" x14ac:dyDescent="0.3">
      <c r="B47" s="15"/>
      <c r="C47" s="23"/>
      <c r="D47" s="24"/>
      <c r="E47" s="24"/>
      <c r="H47" s="16"/>
    </row>
    <row r="48" spans="2:8" x14ac:dyDescent="0.3">
      <c r="B48" s="15"/>
      <c r="C48" s="218" t="s">
        <v>10</v>
      </c>
      <c r="D48" s="218"/>
      <c r="E48" s="218"/>
      <c r="H48" s="16"/>
    </row>
    <row r="49" spans="2:8" x14ac:dyDescent="0.3">
      <c r="B49" s="15"/>
      <c r="C49" s="218"/>
      <c r="D49" s="218"/>
      <c r="E49" s="218"/>
      <c r="G49" s="12"/>
      <c r="H49" s="16"/>
    </row>
    <row r="50" spans="2:8" ht="5.0999999999999996" customHeight="1" x14ac:dyDescent="0.3">
      <c r="B50" s="15"/>
      <c r="C50" s="218" t="s">
        <v>52</v>
      </c>
      <c r="D50" s="218"/>
      <c r="E50" s="218"/>
      <c r="H50" s="16"/>
    </row>
    <row r="51" spans="2:8" x14ac:dyDescent="0.3">
      <c r="B51" s="15"/>
      <c r="C51" s="218"/>
      <c r="D51" s="218"/>
      <c r="E51" s="218"/>
      <c r="G51" s="12"/>
      <c r="H51" s="16"/>
    </row>
    <row r="52" spans="2:8" x14ac:dyDescent="0.3">
      <c r="B52" s="17"/>
      <c r="C52" s="26"/>
      <c r="D52" s="18"/>
      <c r="E52" s="18"/>
      <c r="F52" s="18"/>
      <c r="G52" s="18"/>
      <c r="H52" s="19"/>
    </row>
  </sheetData>
  <mergeCells count="9">
    <mergeCell ref="C48:E49"/>
    <mergeCell ref="C50:E51"/>
    <mergeCell ref="E30:G30"/>
    <mergeCell ref="E28:G28"/>
    <mergeCell ref="C35:E36"/>
    <mergeCell ref="C38:E39"/>
    <mergeCell ref="C40:E41"/>
    <mergeCell ref="C42:E43"/>
    <mergeCell ref="C45:E46"/>
  </mergeCells>
  <dataValidations count="1">
    <dataValidation type="list" allowBlank="1" showInputMessage="1" showErrorMessage="1" sqref="E5 G46 E11 E7 E9 E17 E13 E21 E15 E19 E23 G36 E26 G43 G39 G41 G49 G51" xr:uid="{00000000-0002-0000-0200-000000000000}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scale="9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56"/>
  <sheetViews>
    <sheetView topLeftCell="K1" workbookViewId="0">
      <selection activeCell="P2" sqref="P2"/>
    </sheetView>
  </sheetViews>
  <sheetFormatPr defaultRowHeight="14.4" x14ac:dyDescent="0.3"/>
  <cols>
    <col min="1" max="1" width="37.109375" bestFit="1" customWidth="1"/>
    <col min="2" max="2" width="12.44140625" customWidth="1"/>
    <col min="3" max="3" width="12" bestFit="1" customWidth="1"/>
    <col min="5" max="5" width="13.44140625" customWidth="1"/>
    <col min="6" max="6" width="12.44140625" bestFit="1" customWidth="1"/>
    <col min="7" max="7" width="15.88671875" bestFit="1" customWidth="1"/>
    <col min="8" max="8" width="7" customWidth="1"/>
    <col min="9" max="9" width="18.5546875" customWidth="1"/>
    <col min="10" max="10" width="23" customWidth="1"/>
    <col min="12" max="12" width="30.6640625" customWidth="1"/>
    <col min="13" max="13" width="15.33203125" customWidth="1"/>
    <col min="15" max="15" width="30.109375" customWidth="1"/>
    <col min="16" max="16" width="11.44140625" customWidth="1"/>
    <col min="19" max="19" width="18.109375" customWidth="1"/>
    <col min="21" max="21" width="37.109375" bestFit="1" customWidth="1"/>
    <col min="28" max="28" width="17.5546875" customWidth="1"/>
    <col min="30" max="30" width="28" customWidth="1"/>
    <col min="37" max="37" width="15.88671875" customWidth="1"/>
    <col min="39" max="39" width="23.6640625" customWidth="1"/>
    <col min="46" max="46" width="19.44140625" customWidth="1"/>
    <col min="48" max="48" width="17.33203125" customWidth="1"/>
    <col min="55" max="55" width="17.109375" customWidth="1"/>
  </cols>
  <sheetData>
    <row r="1" spans="1:55" x14ac:dyDescent="0.3">
      <c r="A1" s="51" t="s">
        <v>120</v>
      </c>
      <c r="B1" s="225" t="s">
        <v>127</v>
      </c>
      <c r="C1" s="223"/>
      <c r="D1" s="99"/>
      <c r="E1" s="223" t="s">
        <v>129</v>
      </c>
      <c r="F1" s="223"/>
      <c r="G1" s="99"/>
      <c r="H1" s="223" t="s">
        <v>132</v>
      </c>
      <c r="I1" s="224"/>
      <c r="L1" s="228" t="s">
        <v>150</v>
      </c>
      <c r="M1" s="229"/>
      <c r="N1" s="99"/>
      <c r="O1" s="229" t="s">
        <v>152</v>
      </c>
      <c r="P1" s="229"/>
      <c r="Q1" s="99"/>
      <c r="R1" s="223" t="s">
        <v>132</v>
      </c>
      <c r="S1" s="224"/>
      <c r="U1" s="228" t="s">
        <v>150</v>
      </c>
      <c r="V1" s="229"/>
      <c r="W1" s="99"/>
      <c r="X1" s="229" t="s">
        <v>152</v>
      </c>
      <c r="Y1" s="229"/>
      <c r="Z1" s="99"/>
      <c r="AA1" s="223" t="s">
        <v>132</v>
      </c>
      <c r="AB1" s="224"/>
      <c r="AD1" s="228" t="s">
        <v>150</v>
      </c>
      <c r="AE1" s="229"/>
      <c r="AF1" s="99"/>
      <c r="AG1" s="229" t="s">
        <v>152</v>
      </c>
      <c r="AH1" s="229"/>
      <c r="AI1" s="99"/>
      <c r="AJ1" s="223" t="s">
        <v>132</v>
      </c>
      <c r="AK1" s="224"/>
      <c r="AM1" s="228" t="s">
        <v>150</v>
      </c>
      <c r="AN1" s="229"/>
      <c r="AO1" s="99"/>
      <c r="AP1" s="229" t="s">
        <v>152</v>
      </c>
      <c r="AQ1" s="229"/>
      <c r="AR1" s="99"/>
      <c r="AS1" s="223" t="s">
        <v>132</v>
      </c>
      <c r="AT1" s="224"/>
      <c r="AV1" s="228" t="s">
        <v>150</v>
      </c>
      <c r="AW1" s="229"/>
      <c r="AX1" s="99"/>
      <c r="AY1" s="229" t="s">
        <v>152</v>
      </c>
      <c r="AZ1" s="229"/>
      <c r="BA1" s="99"/>
      <c r="BB1" s="223" t="s">
        <v>132</v>
      </c>
      <c r="BC1" s="224"/>
    </row>
    <row r="2" spans="1:55" x14ac:dyDescent="0.3">
      <c r="A2" s="51" t="s">
        <v>121</v>
      </c>
      <c r="B2" s="100" t="s">
        <v>122</v>
      </c>
      <c r="C2" t="str">
        <f>IF('Composição Corporal1'!C6="","",SUM('Composição Corporal1'!C21,'Composição Corporal1'!C23,'Composição Corporal1'!C17,'Composição Corporal1'!C15,'Composição Corporal1'!C27,'Composição Corporal1'!C25,'Composição Corporal1'!C29))</f>
        <v/>
      </c>
      <c r="E2" t="s">
        <v>126</v>
      </c>
      <c r="F2" t="str">
        <f>IF('Composição Corporal1'!C6="","",SUM('Composição Corporal1'!C21,'Composição Corporal1'!C27,'Composição Corporal1'!C29))</f>
        <v/>
      </c>
      <c r="H2" t="s">
        <v>133</v>
      </c>
      <c r="I2" s="101" t="str">
        <f>IF('Composição Corporal1'!C6="","",SUM('Composição Corporal1'!C17,'Composição Corporal1'!C25,'Composição Corporal1'!C27))</f>
        <v/>
      </c>
      <c r="L2" s="100" t="s">
        <v>122</v>
      </c>
      <c r="M2" t="str">
        <f>IF('Composição Corporal2'!C6="","",SUM('Composição Corporal2'!C21,'Composição Corporal2'!C23,'Composição Corporal2'!C17,'Composição Corporal2'!C15,'Composição Corporal2'!C27,'Composição Corporal2'!C25,'Composição Corporal2'!C29))</f>
        <v/>
      </c>
      <c r="O2" t="s">
        <v>126</v>
      </c>
      <c r="P2" t="str">
        <f>IF('Composição Corporal2'!C6="","",SUM('Composição Corporal2'!C21,'Composição Corporal2'!C27,'Composição Corporal2'!C29))</f>
        <v/>
      </c>
      <c r="R2" t="s">
        <v>133</v>
      </c>
      <c r="S2" s="101" t="str">
        <f>IF('Composição Corporal2'!C6="","",SUM('Composição Corporal2'!C17,'Composição Corporal2'!C25,'Composição Corporal2'!C27))</f>
        <v/>
      </c>
      <c r="U2" s="100" t="s">
        <v>122</v>
      </c>
      <c r="V2" t="str">
        <f>IF('Composição Corporal3'!C6="","",SUM('Composição Corporal3'!C21,'Composição Corporal3'!C23,'Composição Corporal3'!C17,'Composição Corporal3'!C15,'Composição Corporal3'!C27,'Composição Corporal3'!C25,'Composição Corporal3'!C29))</f>
        <v/>
      </c>
      <c r="X2" t="s">
        <v>126</v>
      </c>
      <c r="Y2" t="str">
        <f>IF('Composição Corporal3'!C6="","",SUM('Composição Corporal3'!C21,'Composição Corporal3'!C27,'Composição Corporal3'!C29))</f>
        <v/>
      </c>
      <c r="AA2" t="s">
        <v>133</v>
      </c>
      <c r="AB2" s="101" t="str">
        <f>IF('Composição Corporal3'!C6="","",SUM('Composição Corporal3'!C17,'Composição Corporal3'!C25,'Composição Corporal3'!C27))</f>
        <v/>
      </c>
      <c r="AD2" s="100" t="s">
        <v>122</v>
      </c>
      <c r="AE2" t="str">
        <f>IF('Composição Corporal4'!C6="","",SUM('Composição Corporal4'!C21,'Composição Corporal4'!C23,'Composição Corporal4'!C17,'Composição Corporal4'!C15,'Composição Corporal4'!C27,'Composição Corporal4'!C25,'Composição Corporal4'!C29))</f>
        <v/>
      </c>
      <c r="AG2" t="s">
        <v>126</v>
      </c>
      <c r="AH2" t="str">
        <f>IF('Composição Corporal4'!C6="","",SUM('Composição Corporal4'!C21,'Composição Corporal4'!C27,'Composição Corporal4'!C29))</f>
        <v/>
      </c>
      <c r="AJ2" t="s">
        <v>133</v>
      </c>
      <c r="AK2" s="101" t="str">
        <f>IF('Composição Corporal4'!C6="","",SUM('Composição Corporal4'!C17,'Composição Corporal4'!C25,'Composição Corporal4'!C27))</f>
        <v/>
      </c>
      <c r="AM2" s="100" t="s">
        <v>122</v>
      </c>
      <c r="AN2" t="str">
        <f>IF('Composição Corporal5'!C6="","",SUM('Composição Corporal5'!C21,'Composição Corporal5'!C23,'Composição Corporal5'!C17,'Composição Corporal5'!C15,'Composição Corporal5'!C27,'Composição Corporal5'!C25,'Composição Corporal5'!C29))</f>
        <v/>
      </c>
      <c r="AP2" t="s">
        <v>126</v>
      </c>
      <c r="AQ2" t="str">
        <f>IF('Composição Corporal5'!C6="","",SUM('Composição Corporal5'!C21,'Composição Corporal5'!C27,'Composição Corporal5'!C29))</f>
        <v/>
      </c>
      <c r="AS2" t="s">
        <v>133</v>
      </c>
      <c r="AT2" s="101" t="str">
        <f>IF('Composição Corporal5'!C6="","",SUM('Composição Corporal5'!C17,'Composição Corporal5'!C25,'Composição Corporal5'!C27))</f>
        <v/>
      </c>
      <c r="AV2" s="100" t="s">
        <v>122</v>
      </c>
      <c r="AW2" t="str">
        <f>IF('Composição Corporal6'!C6="","",SUM('Composição Corporal6'!C21,'Composição Corporal6'!C23,'Composição Corporal6'!C17,'Composição Corporal6'!C15,'Composição Corporal6'!C27,'Composição Corporal6'!C25,'Composição Corporal6'!C29))</f>
        <v/>
      </c>
      <c r="AY2" t="s">
        <v>126</v>
      </c>
      <c r="AZ2" t="str">
        <f>IF('Composição Corporal6'!C6="","",SUM('Composição Corporal6'!C21,'Composição Corporal6'!C27,'Composição Corporal6'!C29))</f>
        <v/>
      </c>
      <c r="BB2" t="s">
        <v>133</v>
      </c>
      <c r="BC2" s="101" t="str">
        <f>IF('Composição Corporal6'!C6="","",SUM('Composição Corporal6'!C17,'Composição Corporal6'!C25,'Composição Corporal6'!C27))</f>
        <v/>
      </c>
    </row>
    <row r="3" spans="1:55" x14ac:dyDescent="0.3">
      <c r="A3" s="51" t="s">
        <v>119</v>
      </c>
      <c r="B3" s="100" t="s">
        <v>123</v>
      </c>
      <c r="C3" t="e">
        <f ca="1">IF(C2=0,"",1.112-(0.00043499*(C2))+(0.00000055*(C2*C2))-(0.00028826*('Dados do Aluno'!E12)))</f>
        <v>#VALUE!</v>
      </c>
      <c r="E3" t="s">
        <v>123</v>
      </c>
      <c r="F3" s="102" t="e">
        <f ca="1">IF(F2=0,"",1.10938-(0.0008267*F2)+(0.0000016*(F2*F2))-(0.0002574*'Dados do Aluno'!E12))</f>
        <v>#VALUE!</v>
      </c>
      <c r="H3" t="s">
        <v>123</v>
      </c>
      <c r="I3" s="101" t="e">
        <f>IF(I2=0,"",SUM(1.17136-((LOG10(I2))*0.06706)))</f>
        <v>#VALUE!</v>
      </c>
      <c r="L3" s="100" t="s">
        <v>123</v>
      </c>
      <c r="M3" t="e">
        <f ca="1">IF(M2=0,"",1.112-(0.00043499*(M2))+(0.00000055*(M2*M2))-(0.00028826*('Dados do Aluno'!E12)))</f>
        <v>#VALUE!</v>
      </c>
      <c r="O3" t="s">
        <v>123</v>
      </c>
      <c r="P3" s="102" t="e">
        <f ca="1">IF(P2=0,"",1.10938-(0.0008267*P2)+(0.0000016*(P2*P2))-(0.0002574*'Dados do Aluno'!E12))</f>
        <v>#VALUE!</v>
      </c>
      <c r="R3" t="s">
        <v>123</v>
      </c>
      <c r="S3" s="101" t="e">
        <f>SUM(1.17136-((LOG10(S2))*0.06706))</f>
        <v>#VALUE!</v>
      </c>
      <c r="U3" s="100" t="s">
        <v>123</v>
      </c>
      <c r="V3" t="e">
        <f ca="1">IF(V2=0,"",1.112-(0.00043499*(V2))+(0.00000055*(V2*V2))-(0.00028826*('Dados do Aluno'!E12)))</f>
        <v>#VALUE!</v>
      </c>
      <c r="X3" t="s">
        <v>123</v>
      </c>
      <c r="Y3" s="102" t="e">
        <f ca="1">IF(Y2=0,"",1.10938-(0.0008267*Y2)+(0.0000016*(Y2*Y2))-(0.0002574*'Dados do Aluno'!E12))</f>
        <v>#VALUE!</v>
      </c>
      <c r="AA3" t="s">
        <v>123</v>
      </c>
      <c r="AB3" s="101" t="e">
        <f>SUM(1.17136-((LOG10(AB2))*0.06706))</f>
        <v>#VALUE!</v>
      </c>
      <c r="AD3" s="100" t="s">
        <v>123</v>
      </c>
      <c r="AE3" t="e">
        <f ca="1">IF(AE2=0,"",1.112-(0.00043499*(AE2))+(0.00000055*(AE2*AE2))-(0.00028826*('Dados do Aluno'!E12)))</f>
        <v>#VALUE!</v>
      </c>
      <c r="AG3" t="s">
        <v>123</v>
      </c>
      <c r="AH3" s="102" t="e">
        <f ca="1">IF(AH2=0,"",1.10938-(0.0008267*AH2)+(0.0000016*(AH2*AH2))-(0.0002574*'Dados do Aluno'!E12))</f>
        <v>#VALUE!</v>
      </c>
      <c r="AJ3" t="s">
        <v>123</v>
      </c>
      <c r="AK3" s="101" t="e">
        <f>IF(AK2=0,"",SUM(1.17136-((LOG10(AK2))*0.06706)))</f>
        <v>#VALUE!</v>
      </c>
      <c r="AM3" s="100" t="s">
        <v>123</v>
      </c>
      <c r="AN3" t="e">
        <f ca="1">IF(AN2=0,"",1.112-(0.00043499*(AN2))+(0.00000055*(AN2*AN2))-(0.00028826*('Dados do Aluno'!$E$12)))</f>
        <v>#VALUE!</v>
      </c>
      <c r="AP3" t="s">
        <v>123</v>
      </c>
      <c r="AQ3" s="102" t="e">
        <f ca="1">IF(AQ2=0,"",1.10938-(0.0008267*AQ2)+(0.0000016*(AQ2*AQ2))-(0.0002574*'Dados do Aluno'!$E$12))</f>
        <v>#VALUE!</v>
      </c>
      <c r="AS3" t="s">
        <v>123</v>
      </c>
      <c r="AT3" s="101" t="e">
        <f>IF(AT2=0,"",SUM(1.17136-((LOG10(AT2))*0.06706)))</f>
        <v>#VALUE!</v>
      </c>
      <c r="AV3" s="100" t="s">
        <v>123</v>
      </c>
      <c r="AW3" t="e">
        <f ca="1">IF(AW2=0,"",1.112-(0.00043499*(AW2))+(0.00000055*(AW2*AW2))-(0.00028826*('Dados do Aluno'!$E$12)))</f>
        <v>#VALUE!</v>
      </c>
      <c r="AY3" t="s">
        <v>123</v>
      </c>
      <c r="AZ3" s="102" t="e">
        <f ca="1">IF(AZ2=0,"",1.10938-(0.0008267*AZ2)+(0.0000016*(AZ2*AZ2))-(0.0002574*'Dados do Aluno'!$E$12))</f>
        <v>#VALUE!</v>
      </c>
      <c r="BB3" t="s">
        <v>123</v>
      </c>
      <c r="BC3" s="101" t="e">
        <f>IF(BC2=0,"",SUM(1.17136-((LOG10(BC2))*0.06706)))</f>
        <v>#VALUE!</v>
      </c>
    </row>
    <row r="4" spans="1:55" x14ac:dyDescent="0.3">
      <c r="B4" s="100" t="s">
        <v>124</v>
      </c>
      <c r="C4" s="102" t="e">
        <f ca="1">(495/C3)-450</f>
        <v>#VALUE!</v>
      </c>
      <c r="E4" t="s">
        <v>124</v>
      </c>
      <c r="F4" s="102" t="e">
        <f ca="1">(495/F3)-450</f>
        <v>#VALUE!</v>
      </c>
      <c r="H4" t="s">
        <v>124</v>
      </c>
      <c r="I4" s="103" t="e">
        <f>((4.95/I3)-4.5)*100</f>
        <v>#VALUE!</v>
      </c>
      <c r="L4" s="100" t="s">
        <v>124</v>
      </c>
      <c r="M4" s="102" t="e">
        <f ca="1">(495/M3)-450</f>
        <v>#VALUE!</v>
      </c>
      <c r="O4" t="s">
        <v>124</v>
      </c>
      <c r="P4" s="102" t="e">
        <f ca="1">(495/P3)-450</f>
        <v>#VALUE!</v>
      </c>
      <c r="R4" t="s">
        <v>124</v>
      </c>
      <c r="S4" s="103" t="e">
        <f>((4.95/S3)-4.5)*100</f>
        <v>#VALUE!</v>
      </c>
      <c r="U4" s="100" t="s">
        <v>124</v>
      </c>
      <c r="V4" s="102" t="e">
        <f ca="1">(495/V3)-450</f>
        <v>#VALUE!</v>
      </c>
      <c r="X4" t="s">
        <v>124</v>
      </c>
      <c r="Y4" s="102" t="e">
        <f ca="1">(495/Y3)-450</f>
        <v>#VALUE!</v>
      </c>
      <c r="AA4" t="s">
        <v>124</v>
      </c>
      <c r="AB4" s="103" t="e">
        <f>((4.95/AB3)-4.5)*100</f>
        <v>#VALUE!</v>
      </c>
      <c r="AD4" s="100" t="s">
        <v>124</v>
      </c>
      <c r="AE4" s="102" t="e">
        <f ca="1">(495/AE3)-450</f>
        <v>#VALUE!</v>
      </c>
      <c r="AG4" t="s">
        <v>124</v>
      </c>
      <c r="AH4" s="102" t="e">
        <f ca="1">(495/AH3)-450</f>
        <v>#VALUE!</v>
      </c>
      <c r="AJ4" t="s">
        <v>124</v>
      </c>
      <c r="AK4" s="103" t="e">
        <f>((4.95/AK3)-4.5)*100</f>
        <v>#VALUE!</v>
      </c>
      <c r="AM4" s="100" t="s">
        <v>124</v>
      </c>
      <c r="AN4" s="102" t="e">
        <f ca="1">(495/AN3)-450</f>
        <v>#VALUE!</v>
      </c>
      <c r="AP4" t="s">
        <v>124</v>
      </c>
      <c r="AQ4" s="102" t="e">
        <f ca="1">(495/AQ3)-450</f>
        <v>#VALUE!</v>
      </c>
      <c r="AS4" t="s">
        <v>124</v>
      </c>
      <c r="AT4" s="103" t="e">
        <f>((4.95/AT3)-4.5)*100</f>
        <v>#VALUE!</v>
      </c>
      <c r="AV4" s="100" t="s">
        <v>124</v>
      </c>
      <c r="AW4" s="102" t="e">
        <f ca="1">(495/AW3)-450</f>
        <v>#VALUE!</v>
      </c>
      <c r="AY4" t="s">
        <v>124</v>
      </c>
      <c r="AZ4" s="102" t="e">
        <f ca="1">(495/AZ3)-450</f>
        <v>#VALUE!</v>
      </c>
      <c r="BB4" t="s">
        <v>124</v>
      </c>
      <c r="BC4" s="103" t="e">
        <f>((4.95/BC3)-4.5)*100</f>
        <v>#VALUE!</v>
      </c>
    </row>
    <row r="5" spans="1:55" x14ac:dyDescent="0.3">
      <c r="B5" s="100"/>
      <c r="I5" s="101"/>
      <c r="L5" s="100"/>
      <c r="S5" s="101"/>
      <c r="U5" s="100"/>
      <c r="AB5" s="101"/>
      <c r="AD5" s="100"/>
      <c r="AK5" s="101"/>
      <c r="AM5" s="100"/>
      <c r="AT5" s="101"/>
      <c r="AV5" s="100"/>
      <c r="BC5" s="101"/>
    </row>
    <row r="6" spans="1:55" x14ac:dyDescent="0.3">
      <c r="A6" s="51"/>
      <c r="B6" s="226" t="s">
        <v>128</v>
      </c>
      <c r="C6" s="227"/>
      <c r="E6" s="227" t="s">
        <v>130</v>
      </c>
      <c r="F6" s="227"/>
      <c r="H6" t="s">
        <v>134</v>
      </c>
      <c r="I6" s="101"/>
      <c r="L6" s="230" t="s">
        <v>151</v>
      </c>
      <c r="M6" s="231"/>
      <c r="O6" s="231" t="s">
        <v>153</v>
      </c>
      <c r="P6" s="231"/>
      <c r="R6" t="s">
        <v>134</v>
      </c>
      <c r="S6" s="101"/>
      <c r="U6" s="230" t="s">
        <v>151</v>
      </c>
      <c r="V6" s="231"/>
      <c r="X6" s="231" t="s">
        <v>153</v>
      </c>
      <c r="Y6" s="231"/>
      <c r="AA6" t="s">
        <v>134</v>
      </c>
      <c r="AB6" s="101"/>
      <c r="AD6" s="230" t="s">
        <v>151</v>
      </c>
      <c r="AE6" s="231"/>
      <c r="AG6" s="231" t="s">
        <v>153</v>
      </c>
      <c r="AH6" s="231"/>
      <c r="AJ6" t="s">
        <v>134</v>
      </c>
      <c r="AK6" s="101"/>
      <c r="AM6" s="230" t="s">
        <v>151</v>
      </c>
      <c r="AN6" s="231"/>
      <c r="AP6" s="231" t="s">
        <v>153</v>
      </c>
      <c r="AQ6" s="231"/>
      <c r="AS6" t="s">
        <v>134</v>
      </c>
      <c r="AT6" s="101"/>
      <c r="AV6" s="230" t="s">
        <v>151</v>
      </c>
      <c r="AW6" s="231"/>
      <c r="AY6" s="231" t="s">
        <v>153</v>
      </c>
      <c r="AZ6" s="231"/>
      <c r="BB6" t="s">
        <v>134</v>
      </c>
      <c r="BC6" s="101"/>
    </row>
    <row r="7" spans="1:55" ht="15.75" customHeight="1" x14ac:dyDescent="0.3">
      <c r="A7" s="51"/>
      <c r="B7" s="100" t="s">
        <v>122</v>
      </c>
      <c r="C7">
        <f>SUM('Composição Corporal1'!C21,'Composição Corporal1'!C23,'Composição Corporal1'!C17,'Composição Corporal1'!C15,'Composição Corporal1'!C27,'Composição Corporal1'!C25,'Composição Corporal1'!C29)</f>
        <v>0</v>
      </c>
      <c r="E7" t="s">
        <v>126</v>
      </c>
      <c r="F7">
        <f>SUM('Composição Corporal1'!C17,'Composição Corporal1'!C29,'Composição Corporal1'!C25)</f>
        <v>0</v>
      </c>
      <c r="H7" t="s">
        <v>133</v>
      </c>
      <c r="I7" s="101">
        <f>SUM('Composição Corporal1'!C29,'Composição Corporal1'!C25,'Composição Corporal1'!C15)</f>
        <v>0</v>
      </c>
      <c r="L7" s="100" t="s">
        <v>122</v>
      </c>
      <c r="M7" t="str">
        <f>IF('Composição Corporal2'!C6="","",SUM('Composição Corporal2'!C21,'Composição Corporal2'!C23,'Composição Corporal2'!C17,'Composição Corporal2'!C15,'Composição Corporal2'!C27,'Composição Corporal2'!C25,'Composição Corporal2'!C29))</f>
        <v/>
      </c>
      <c r="O7" t="s">
        <v>126</v>
      </c>
      <c r="P7" t="str">
        <f>IF('Composição Corporal2'!C6="","",SUM('Composição Corporal2'!C17,'Composição Corporal2'!C29,'Composição Corporal2'!C25))</f>
        <v/>
      </c>
      <c r="R7" t="s">
        <v>133</v>
      </c>
      <c r="S7" s="101" t="str">
        <f>IF('Composição Corporal2'!C6="","",SUM('Composição Corporal2'!C29,'Composição Corporal2'!C25,'Composição Corporal2'!C15))</f>
        <v/>
      </c>
      <c r="U7" s="100" t="s">
        <v>122</v>
      </c>
      <c r="V7" t="str">
        <f>IF('Composição Corporal3'!C6="","",SUM('Composição Corporal3'!C21,'Composição Corporal3'!C23,'Composição Corporal3'!C17,'Composição Corporal3'!C15,'Composição Corporal3'!C27,'Composição Corporal3'!C25,'Composição Corporal3'!C29))</f>
        <v/>
      </c>
      <c r="X7" t="s">
        <v>126</v>
      </c>
      <c r="Y7" t="str">
        <f>IF('Composição Corporal3'!C6="","",SUM('Composição Corporal3'!C17,'Composição Corporal3'!C29,'Composição Corporal3'!C25))</f>
        <v/>
      </c>
      <c r="AA7" t="s">
        <v>133</v>
      </c>
      <c r="AB7" s="101" t="str">
        <f>IF('Composição Corporal3'!C6="","",SUM('Composição Corporal3'!C29,'Composição Corporal3'!C25,'Composição Corporal3'!C15))</f>
        <v/>
      </c>
      <c r="AD7" s="100" t="s">
        <v>122</v>
      </c>
      <c r="AE7" t="str">
        <f>IF('Composição Corporal4'!C6="","",SUM('Composição Corporal4'!C21,'Composição Corporal4'!C23,'Composição Corporal4'!C17,'Composição Corporal4'!C15,'Composição Corporal4'!C27,'Composição Corporal4'!C25,'Composição Corporal4'!C29))</f>
        <v/>
      </c>
      <c r="AG7" t="s">
        <v>126</v>
      </c>
      <c r="AH7" t="str">
        <f>IF('Composição Corporal4'!C6="","",SUM('Composição Corporal4'!C17,'Composição Corporal4'!C29,'Composição Corporal4'!C25))</f>
        <v/>
      </c>
      <c r="AJ7" t="s">
        <v>133</v>
      </c>
      <c r="AK7" s="101" t="str">
        <f>IF('Composição Corporal4'!C6="","",SUM('Composição Corporal4'!C29,'Composição Corporal4'!C25,'Composição Corporal4'!C15))</f>
        <v/>
      </c>
      <c r="AM7" s="100" t="s">
        <v>122</v>
      </c>
      <c r="AN7" t="str">
        <f>IF('Composição Corporal5'!C6="","",SUM('Composição Corporal5'!C21,'Composição Corporal5'!C23,'Composição Corporal5'!C17,'Composição Corporal5'!C15,'Composição Corporal5'!C27,'Composição Corporal5'!C25,'Composição Corporal5'!C29))</f>
        <v/>
      </c>
      <c r="AP7" t="s">
        <v>126</v>
      </c>
      <c r="AQ7" t="str">
        <f>IF('Composição Corporal5'!C6="","",SUM('Composição Corporal5'!C17,'Composição Corporal5'!C29,'Composição Corporal5'!C25))</f>
        <v/>
      </c>
      <c r="AS7" t="s">
        <v>133</v>
      </c>
      <c r="AT7" s="101" t="str">
        <f>IF('Composição Corporal5'!C6="","",SUM('Composição Corporal5'!C29,'Composição Corporal5'!C25,'Composição Corporal5'!C15))</f>
        <v/>
      </c>
      <c r="AV7" s="100" t="s">
        <v>122</v>
      </c>
      <c r="AW7" t="str">
        <f>IF('Composição Corporal6'!C6="","",SUM('Composição Corporal6'!C21,'Composição Corporal6'!C23,'Composição Corporal6'!C17,'Composição Corporal6'!C15,'Composição Corporal6'!C27,'Composição Corporal6'!C25,'Composição Corporal6'!C29))</f>
        <v/>
      </c>
      <c r="AY7" t="s">
        <v>126</v>
      </c>
      <c r="AZ7" t="str">
        <f>IF('Composição Corporal6'!C6="","",SUM('Composição Corporal6'!C17,'Composição Corporal6'!C29,'Composição Corporal6'!C25))</f>
        <v/>
      </c>
      <c r="BB7" t="s">
        <v>133</v>
      </c>
      <c r="BC7" s="101" t="str">
        <f>IF('Composição Corporal6'!C6="","",SUM('Composição Corporal6'!C29,'Composição Corporal6'!C25,'Composição Corporal6'!C15))</f>
        <v/>
      </c>
    </row>
    <row r="8" spans="1:55" x14ac:dyDescent="0.3">
      <c r="B8" s="100" t="s">
        <v>123</v>
      </c>
      <c r="C8" t="str">
        <f>IF(C7=0,"",1.097-(0.00046971*(C7))+(0.00000056*(C7*C7))-(0.00012828*('Dados do Aluno'!E12)))</f>
        <v/>
      </c>
      <c r="E8" t="s">
        <v>123</v>
      </c>
      <c r="F8" s="104" t="str">
        <f>IF(F7=0,"",1.0994921-(0.0009929*F7)+(0.0000023*(F7*F7))-(0.0001392*'Dados do Aluno'!E12))</f>
        <v/>
      </c>
      <c r="H8" t="s">
        <v>123</v>
      </c>
      <c r="I8" s="101" t="str">
        <f>IF(I7=0,"",1.1665-((LOG10(I7))*0.07063))</f>
        <v/>
      </c>
      <c r="L8" s="100" t="s">
        <v>123</v>
      </c>
      <c r="M8" t="e">
        <f ca="1">(1.097-(0.00046971*(M7))+(0.00000056*(M7*M7))-(0.00012828*('Dados do Aluno'!E12)))</f>
        <v>#VALUE!</v>
      </c>
      <c r="O8" t="s">
        <v>123</v>
      </c>
      <c r="P8" s="104" t="e">
        <f ca="1">1.0994921-(0.0009929*P7)+(0.0000023*(P7*P7))-(0.0001392*'Dados do Aluno'!E12)</f>
        <v>#VALUE!</v>
      </c>
      <c r="R8" t="s">
        <v>123</v>
      </c>
      <c r="S8" s="101" t="e">
        <f>1.1665-((LOG10(S7))*0.07063)</f>
        <v>#VALUE!</v>
      </c>
      <c r="U8" s="100" t="s">
        <v>123</v>
      </c>
      <c r="V8" t="e">
        <f ca="1">IF(V7=0,"",1.097-(0.00046971*(V7))+(0.00000056*(V7*V7))-(0.00012828*('Dados do Aluno'!E12)))</f>
        <v>#VALUE!</v>
      </c>
      <c r="X8" t="s">
        <v>123</v>
      </c>
      <c r="Y8" s="104" t="e">
        <f ca="1">IF(Y7=0,"",1.0994921-(0.0009929*Y7)+(0.0000023*(Y7*Y7))-(0.0001392*'Dados do Aluno'!E12))</f>
        <v>#VALUE!</v>
      </c>
      <c r="AA8" t="s">
        <v>123</v>
      </c>
      <c r="AB8" s="101" t="e">
        <f>IF(AB7=0,"",1.1665-((LOG10(AB7))*0.07063))</f>
        <v>#VALUE!</v>
      </c>
      <c r="AD8" s="100" t="s">
        <v>123</v>
      </c>
      <c r="AE8" t="e">
        <f ca="1">IF(AE7=0,"",1.097-(0.00046971*(AE7))+(0.00000056*(AE7*AE7))-(0.00012828*('Dados do Aluno'!E12)))</f>
        <v>#VALUE!</v>
      </c>
      <c r="AG8" t="s">
        <v>123</v>
      </c>
      <c r="AH8" s="104" t="e">
        <f ca="1">IF(AH7=0,"",1.0994921-(0.0009929*AH7)+(0.0000023*(AH7*AH7))-(0.0001392*'Dados do Aluno'!E12))</f>
        <v>#VALUE!</v>
      </c>
      <c r="AJ8" t="s">
        <v>123</v>
      </c>
      <c r="AK8" s="101" t="e">
        <f>IF(AK7=0,"",1.1665-((LOG10(AK7))*0.07063))</f>
        <v>#VALUE!</v>
      </c>
      <c r="AM8" s="100" t="s">
        <v>123</v>
      </c>
      <c r="AN8" t="e">
        <f ca="1">IF(AN7=0,"",1.097-(0.00046971*(AN7))+(0.00000056*(AN7*AN7))-(0.00012828*('Dados do Aluno'!$E$12)))</f>
        <v>#VALUE!</v>
      </c>
      <c r="AP8" t="s">
        <v>123</v>
      </c>
      <c r="AQ8" s="104" t="e">
        <f ca="1">IF(AQ7=0,"",1.0994921-(0.0009929*AQ7)+(0.0000023*(AQ7*AQ7))-(0.0001392*'Dados do Aluno'!$E$12))</f>
        <v>#VALUE!</v>
      </c>
      <c r="AS8" t="s">
        <v>123</v>
      </c>
      <c r="AT8" s="101" t="e">
        <f>IF(AT7=0,"",1.1665-((LOG10(AT7))*0.07063))</f>
        <v>#VALUE!</v>
      </c>
      <c r="AV8" s="100" t="s">
        <v>123</v>
      </c>
      <c r="AW8" t="e">
        <f ca="1">IF(AW7=0,"",1.097-(0.00046971*(AW7))+(0.00000056*(AW7*AW7))-(0.00012828*('Dados do Aluno'!$E$12)))</f>
        <v>#VALUE!</v>
      </c>
      <c r="AY8" t="s">
        <v>123</v>
      </c>
      <c r="AZ8" s="104" t="e">
        <f ca="1">IF(AZ7=0,"",1.0994921-(0.0009929*AZ7)+(0.0000023*(AZ7*AZ7))-(0.0001392*'Dados do Aluno'!$E$12))</f>
        <v>#VALUE!</v>
      </c>
      <c r="BB8" t="s">
        <v>123</v>
      </c>
      <c r="BC8" s="101" t="e">
        <f>IF(BC7=0,"",1.1665-((LOG10(BC7))*0.07063))</f>
        <v>#VALUE!</v>
      </c>
    </row>
    <row r="9" spans="1:55" x14ac:dyDescent="0.3">
      <c r="B9" s="100" t="s">
        <v>124</v>
      </c>
      <c r="C9" s="102" t="e">
        <f>(495/C8)-450</f>
        <v>#VALUE!</v>
      </c>
      <c r="E9" t="s">
        <v>124</v>
      </c>
      <c r="F9" s="102" t="e">
        <f>(495/F8)-450</f>
        <v>#VALUE!</v>
      </c>
      <c r="H9" t="s">
        <v>124</v>
      </c>
      <c r="I9" s="103" t="e">
        <f>((4.95/I8)-4.5)*100</f>
        <v>#VALUE!</v>
      </c>
      <c r="L9" s="100" t="s">
        <v>124</v>
      </c>
      <c r="M9" s="102" t="e">
        <f ca="1">(495/M8)-450</f>
        <v>#VALUE!</v>
      </c>
      <c r="O9" t="s">
        <v>124</v>
      </c>
      <c r="P9" s="102" t="e">
        <f ca="1">(495/P8)-450</f>
        <v>#VALUE!</v>
      </c>
      <c r="R9" t="s">
        <v>124</v>
      </c>
      <c r="S9" s="103" t="e">
        <f>((4.95/S8)-4.5)*100</f>
        <v>#VALUE!</v>
      </c>
      <c r="U9" s="100" t="s">
        <v>124</v>
      </c>
      <c r="V9" s="102" t="e">
        <f ca="1">(495/V8)-450</f>
        <v>#VALUE!</v>
      </c>
      <c r="X9" t="s">
        <v>124</v>
      </c>
      <c r="Y9" s="102" t="e">
        <f ca="1">(495/Y8)-450</f>
        <v>#VALUE!</v>
      </c>
      <c r="AA9" t="s">
        <v>124</v>
      </c>
      <c r="AB9" s="103" t="e">
        <f>((4.95/AB8)-4.5)*100</f>
        <v>#VALUE!</v>
      </c>
      <c r="AD9" s="100" t="s">
        <v>124</v>
      </c>
      <c r="AE9" s="102" t="e">
        <f ca="1">(495/AE8)-450</f>
        <v>#VALUE!</v>
      </c>
      <c r="AG9" t="s">
        <v>124</v>
      </c>
      <c r="AH9" s="102" t="e">
        <f ca="1">(495/AH8)-450</f>
        <v>#VALUE!</v>
      </c>
      <c r="AJ9" t="s">
        <v>124</v>
      </c>
      <c r="AK9" s="103" t="e">
        <f>((4.95/AK8)-4.5)*100</f>
        <v>#VALUE!</v>
      </c>
      <c r="AM9" s="100" t="s">
        <v>124</v>
      </c>
      <c r="AN9" s="102" t="e">
        <f ca="1">(495/AN8)-450</f>
        <v>#VALUE!</v>
      </c>
      <c r="AP9" t="s">
        <v>124</v>
      </c>
      <c r="AQ9" s="102" t="e">
        <f ca="1">(495/AQ8)-450</f>
        <v>#VALUE!</v>
      </c>
      <c r="AS9" t="s">
        <v>124</v>
      </c>
      <c r="AT9" s="103" t="e">
        <f>((4.95/AT8)-4.5)*100</f>
        <v>#VALUE!</v>
      </c>
      <c r="AV9" s="100" t="s">
        <v>124</v>
      </c>
      <c r="AW9" s="102" t="e">
        <f ca="1">(495/AW8)-450</f>
        <v>#VALUE!</v>
      </c>
      <c r="AY9" t="s">
        <v>124</v>
      </c>
      <c r="AZ9" s="102" t="e">
        <f ca="1">(495/AZ8)-450</f>
        <v>#VALUE!</v>
      </c>
      <c r="BB9" t="s">
        <v>124</v>
      </c>
      <c r="BC9" s="103" t="e">
        <f>((4.95/BC8)-4.5)*100</f>
        <v>#VALUE!</v>
      </c>
    </row>
    <row r="10" spans="1:55" x14ac:dyDescent="0.3">
      <c r="B10" s="100"/>
      <c r="I10" s="101"/>
      <c r="L10" s="100"/>
      <c r="S10" s="101"/>
      <c r="U10" s="100"/>
      <c r="AB10" s="101"/>
      <c r="AD10" s="100"/>
      <c r="AK10" s="101"/>
      <c r="AM10" s="100"/>
      <c r="AT10" s="101"/>
      <c r="AV10" s="100"/>
      <c r="BC10" s="101"/>
    </row>
    <row r="11" spans="1:55" ht="21" x14ac:dyDescent="0.4">
      <c r="B11" s="100" t="s">
        <v>125</v>
      </c>
      <c r="C11" t="s">
        <v>131</v>
      </c>
      <c r="E11" t="s">
        <v>107</v>
      </c>
      <c r="I11" s="114">
        <v>1</v>
      </c>
      <c r="L11" s="100" t="s">
        <v>125</v>
      </c>
      <c r="M11" t="s">
        <v>131</v>
      </c>
      <c r="O11" t="s">
        <v>107</v>
      </c>
      <c r="S11" s="101"/>
      <c r="U11" s="100" t="s">
        <v>125</v>
      </c>
      <c r="V11" t="s">
        <v>131</v>
      </c>
      <c r="X11" t="s">
        <v>107</v>
      </c>
      <c r="AB11" s="101"/>
      <c r="AD11" s="100" t="s">
        <v>125</v>
      </c>
      <c r="AE11" t="s">
        <v>131</v>
      </c>
      <c r="AG11" t="s">
        <v>107</v>
      </c>
      <c r="AK11" s="101"/>
      <c r="AM11" s="100" t="s">
        <v>125</v>
      </c>
      <c r="AN11" t="s">
        <v>131</v>
      </c>
      <c r="AP11" t="s">
        <v>107</v>
      </c>
      <c r="AT11" s="101"/>
      <c r="AV11" s="100" t="s">
        <v>125</v>
      </c>
      <c r="AW11" t="s">
        <v>131</v>
      </c>
      <c r="AY11" t="s">
        <v>107</v>
      </c>
      <c r="BC11" s="101"/>
    </row>
    <row r="12" spans="1:55" ht="18" x14ac:dyDescent="0.35">
      <c r="B12" s="105" t="s">
        <v>121</v>
      </c>
      <c r="C12" s="102" t="str">
        <f ca="1">IFERROR(F4,"")</f>
        <v/>
      </c>
      <c r="E12" s="51" t="s">
        <v>121</v>
      </c>
      <c r="F12" s="102" t="str">
        <f>IFERROR(F9,"")</f>
        <v/>
      </c>
      <c r="I12" s="101"/>
      <c r="L12" s="105" t="s">
        <v>121</v>
      </c>
      <c r="M12" s="102" t="e">
        <f ca="1">P4</f>
        <v>#VALUE!</v>
      </c>
      <c r="O12" s="51" t="s">
        <v>121</v>
      </c>
      <c r="P12" s="102" t="e">
        <f ca="1">P9</f>
        <v>#VALUE!</v>
      </c>
      <c r="S12" s="115">
        <v>2</v>
      </c>
      <c r="U12" s="105" t="s">
        <v>121</v>
      </c>
      <c r="V12" s="102" t="str">
        <f ca="1">IFERROR(Y4,"")</f>
        <v/>
      </c>
      <c r="X12" s="51" t="s">
        <v>121</v>
      </c>
      <c r="Y12" s="102" t="str">
        <f ca="1">IFERROR(Y9,"")</f>
        <v/>
      </c>
      <c r="AB12" s="115">
        <v>3</v>
      </c>
      <c r="AD12" s="105" t="s">
        <v>121</v>
      </c>
      <c r="AE12" s="102" t="e">
        <f ca="1">AH4</f>
        <v>#VALUE!</v>
      </c>
      <c r="AG12" s="51" t="s">
        <v>121</v>
      </c>
      <c r="AH12" s="102" t="e">
        <f ca="1">AH9</f>
        <v>#VALUE!</v>
      </c>
      <c r="AK12" s="115">
        <v>4</v>
      </c>
      <c r="AM12" s="105" t="s">
        <v>121</v>
      </c>
      <c r="AN12" s="102" t="e">
        <f ca="1">AQ4</f>
        <v>#VALUE!</v>
      </c>
      <c r="AP12" s="51" t="s">
        <v>121</v>
      </c>
      <c r="AQ12" s="102" t="e">
        <f ca="1">AQ9</f>
        <v>#VALUE!</v>
      </c>
      <c r="AT12" s="115">
        <v>5</v>
      </c>
      <c r="AV12" s="105" t="s">
        <v>121</v>
      </c>
      <c r="AW12" s="102" t="e">
        <f ca="1">AZ4</f>
        <v>#VALUE!</v>
      </c>
      <c r="AY12" s="51" t="s">
        <v>121</v>
      </c>
      <c r="AZ12" s="102" t="e">
        <f ca="1">AZ9</f>
        <v>#VALUE!</v>
      </c>
      <c r="BC12" s="115">
        <v>6</v>
      </c>
    </row>
    <row r="13" spans="1:55" x14ac:dyDescent="0.3">
      <c r="B13" s="105" t="s">
        <v>119</v>
      </c>
      <c r="C13" s="102" t="str">
        <f ca="1">IFERROR(C4,"")</f>
        <v/>
      </c>
      <c r="E13" s="51" t="s">
        <v>119</v>
      </c>
      <c r="F13" s="102" t="str">
        <f>IFERROR(C9,"")</f>
        <v/>
      </c>
      <c r="I13" s="101"/>
      <c r="L13" s="105" t="s">
        <v>119</v>
      </c>
      <c r="M13" s="102" t="e">
        <f ca="1">M4</f>
        <v>#VALUE!</v>
      </c>
      <c r="O13" s="51" t="s">
        <v>119</v>
      </c>
      <c r="P13" s="102" t="e">
        <f ca="1">M9</f>
        <v>#VALUE!</v>
      </c>
      <c r="S13" s="101"/>
      <c r="U13" s="105" t="s">
        <v>119</v>
      </c>
      <c r="V13" s="102" t="str">
        <f ca="1">IFERROR(V4,"")</f>
        <v/>
      </c>
      <c r="X13" s="51" t="s">
        <v>119</v>
      </c>
      <c r="Y13" s="102" t="str">
        <f ca="1">IFERROR(V9,"")</f>
        <v/>
      </c>
      <c r="AB13" s="101"/>
      <c r="AD13" s="105" t="s">
        <v>119</v>
      </c>
      <c r="AE13" s="102" t="e">
        <f ca="1">AE4</f>
        <v>#VALUE!</v>
      </c>
      <c r="AG13" s="51" t="s">
        <v>119</v>
      </c>
      <c r="AH13" s="102" t="e">
        <f ca="1">AE9</f>
        <v>#VALUE!</v>
      </c>
      <c r="AK13" s="101"/>
      <c r="AM13" s="105" t="s">
        <v>119</v>
      </c>
      <c r="AN13" s="102" t="e">
        <f ca="1">AN4</f>
        <v>#VALUE!</v>
      </c>
      <c r="AP13" s="51" t="s">
        <v>119</v>
      </c>
      <c r="AQ13" s="102" t="e">
        <f ca="1">AN9</f>
        <v>#VALUE!</v>
      </c>
      <c r="AT13" s="101"/>
      <c r="AV13" s="105" t="s">
        <v>119</v>
      </c>
      <c r="AW13" s="102" t="e">
        <f ca="1">AW4</f>
        <v>#VALUE!</v>
      </c>
      <c r="AY13" s="51" t="s">
        <v>119</v>
      </c>
      <c r="AZ13" s="102" t="e">
        <f ca="1">AW9</f>
        <v>#VALUE!</v>
      </c>
      <c r="BC13" s="101"/>
    </row>
    <row r="14" spans="1:55" ht="15" thickBot="1" x14ac:dyDescent="0.35">
      <c r="B14" s="106" t="s">
        <v>120</v>
      </c>
      <c r="C14" s="107" t="str">
        <f>IFERROR(I4,"")</f>
        <v/>
      </c>
      <c r="D14" s="108"/>
      <c r="E14" s="109" t="s">
        <v>120</v>
      </c>
      <c r="F14" s="107" t="str">
        <f>IFERROR(I9,"")</f>
        <v/>
      </c>
      <c r="G14" s="108"/>
      <c r="H14" s="108"/>
      <c r="I14" s="110"/>
      <c r="L14" s="105" t="s">
        <v>120</v>
      </c>
      <c r="M14" s="102" t="e">
        <f>S4</f>
        <v>#VALUE!</v>
      </c>
      <c r="O14" s="51" t="s">
        <v>120</v>
      </c>
      <c r="P14" s="102" t="e">
        <f>S9</f>
        <v>#VALUE!</v>
      </c>
      <c r="S14" s="101"/>
      <c r="U14" s="105" t="s">
        <v>120</v>
      </c>
      <c r="V14" s="102" t="str">
        <f>IFERROR(AB4,"")</f>
        <v/>
      </c>
      <c r="X14" s="51" t="s">
        <v>120</v>
      </c>
      <c r="Y14" s="102" t="str">
        <f>IFERROR(AB9,"")</f>
        <v/>
      </c>
      <c r="AB14" s="101"/>
      <c r="AD14" s="105" t="s">
        <v>120</v>
      </c>
      <c r="AE14" s="102" t="e">
        <f>AK4</f>
        <v>#VALUE!</v>
      </c>
      <c r="AG14" s="51" t="s">
        <v>120</v>
      </c>
      <c r="AH14" s="102" t="e">
        <f>AK9</f>
        <v>#VALUE!</v>
      </c>
      <c r="AK14" s="101"/>
      <c r="AM14" s="105" t="s">
        <v>120</v>
      </c>
      <c r="AN14" s="102" t="e">
        <f>AT4</f>
        <v>#VALUE!</v>
      </c>
      <c r="AP14" s="51" t="s">
        <v>120</v>
      </c>
      <c r="AQ14" s="102" t="e">
        <f>AT9</f>
        <v>#VALUE!</v>
      </c>
      <c r="AT14" s="101"/>
      <c r="AV14" s="105" t="s">
        <v>120</v>
      </c>
      <c r="AW14" s="102" t="e">
        <f>BC4</f>
        <v>#VALUE!</v>
      </c>
      <c r="AY14" s="51" t="s">
        <v>120</v>
      </c>
      <c r="AZ14" s="102" t="e">
        <f>BC9</f>
        <v>#VALUE!</v>
      </c>
      <c r="BC14" s="101"/>
    </row>
    <row r="15" spans="1:55" x14ac:dyDescent="0.3">
      <c r="L15" s="100"/>
      <c r="S15" s="101"/>
      <c r="U15" s="100"/>
      <c r="AB15" s="101"/>
      <c r="AD15" s="100"/>
      <c r="AK15" s="101"/>
      <c r="AM15" s="100"/>
      <c r="AT15" s="101"/>
      <c r="AV15" s="100"/>
      <c r="BC15" s="101"/>
    </row>
    <row r="16" spans="1:55" ht="15.6" x14ac:dyDescent="0.3">
      <c r="A16" s="222" t="s">
        <v>148</v>
      </c>
      <c r="B16" s="222"/>
      <c r="C16" s="222"/>
      <c r="D16" s="222"/>
      <c r="E16" s="222"/>
      <c r="F16" s="222"/>
      <c r="G16" s="222"/>
      <c r="L16" s="100"/>
      <c r="S16" s="101"/>
      <c r="U16" s="100"/>
      <c r="AB16" s="101"/>
      <c r="AD16" s="100"/>
      <c r="AK16" s="101"/>
      <c r="AM16" s="100"/>
      <c r="AT16" s="101"/>
      <c r="AV16" s="100"/>
      <c r="BC16" s="101"/>
    </row>
    <row r="17" spans="1:55" x14ac:dyDescent="0.3">
      <c r="A17" s="38">
        <v>18</v>
      </c>
      <c r="B17" s="38">
        <v>26</v>
      </c>
      <c r="C17" s="38">
        <v>36</v>
      </c>
      <c r="D17" s="38">
        <v>46</v>
      </c>
      <c r="E17" s="38">
        <v>56</v>
      </c>
      <c r="F17" s="38">
        <v>65</v>
      </c>
      <c r="G17" s="38" t="s">
        <v>143</v>
      </c>
      <c r="I17" s="40" t="s">
        <v>1</v>
      </c>
      <c r="J17" s="37" t="str">
        <f>IF('Dados do Aluno'!E8="Masculino",'Dados do Aluno'!E8,"")</f>
        <v>Masculino</v>
      </c>
      <c r="L17" s="111" t="s">
        <v>1</v>
      </c>
      <c r="M17" s="37" t="str">
        <f>IF('Dados do Aluno'!E8="Masculino",'Dados do Aluno'!E8,"")</f>
        <v>Masculino</v>
      </c>
      <c r="S17" s="101"/>
      <c r="U17" s="111" t="s">
        <v>1</v>
      </c>
      <c r="V17" s="37" t="str">
        <f>IF('Dados do Aluno'!E8="Masculino",'Dados do Aluno'!E8,"")</f>
        <v>Masculino</v>
      </c>
      <c r="AB17" s="101"/>
      <c r="AD17" s="111" t="s">
        <v>1</v>
      </c>
      <c r="AE17" s="37" t="str">
        <f>IF('Dados do Aluno'!$E$8="Masculino",'Dados do Aluno'!$E$8,"")</f>
        <v>Masculino</v>
      </c>
      <c r="AK17" s="101"/>
      <c r="AM17" s="111" t="s">
        <v>1</v>
      </c>
      <c r="AN17" s="37" t="str">
        <f>IF('Dados do Aluno'!$E$8="Masculino",'Dados do Aluno'!$E$8,"")</f>
        <v>Masculino</v>
      </c>
      <c r="AT17" s="101"/>
      <c r="AV17" s="111" t="s">
        <v>1</v>
      </c>
      <c r="AW17" s="37" t="str">
        <f>IF('Dados do Aluno'!$E$8="Masculino",'Dados do Aluno'!$E$8,"")</f>
        <v>Masculino</v>
      </c>
      <c r="BC17" s="101"/>
    </row>
    <row r="18" spans="1:55" x14ac:dyDescent="0.3">
      <c r="A18" s="53">
        <v>4</v>
      </c>
      <c r="B18" s="53">
        <v>8</v>
      </c>
      <c r="C18" s="53">
        <v>10</v>
      </c>
      <c r="D18" s="53">
        <v>12</v>
      </c>
      <c r="E18" s="53">
        <v>13</v>
      </c>
      <c r="F18" s="53">
        <v>14</v>
      </c>
      <c r="G18" s="36" t="s">
        <v>99</v>
      </c>
      <c r="I18" s="40" t="s">
        <v>3</v>
      </c>
      <c r="J18" s="37">
        <f ca="1">IF('Dados do Aluno'!E8="Masculino",'Dados do Aluno'!E12,"")</f>
        <v>36</v>
      </c>
      <c r="L18" s="111" t="s">
        <v>3</v>
      </c>
      <c r="M18" s="37">
        <f ca="1">IF('Dados do Aluno'!E8="Masculino",'Dados do Aluno'!E12,"")</f>
        <v>36</v>
      </c>
      <c r="S18" s="101"/>
      <c r="U18" s="111" t="s">
        <v>3</v>
      </c>
      <c r="V18" s="37">
        <f ca="1">IF('Dados do Aluno'!E8="Masculino",'Dados do Aluno'!E12,"")</f>
        <v>36</v>
      </c>
      <c r="AB18" s="101"/>
      <c r="AD18" s="111" t="s">
        <v>3</v>
      </c>
      <c r="AE18" s="37">
        <f ca="1">IF('Dados do Aluno'!$E$8="Masculino",'Dados do Aluno'!$E$12,"")</f>
        <v>36</v>
      </c>
      <c r="AK18" s="101"/>
      <c r="AM18" s="111" t="s">
        <v>3</v>
      </c>
      <c r="AN18" s="37">
        <f ca="1">IF('Dados do Aluno'!$E$8="Masculino",'Dados do Aluno'!$E$12,"")</f>
        <v>36</v>
      </c>
      <c r="AT18" s="101"/>
      <c r="AV18" s="111" t="s">
        <v>3</v>
      </c>
      <c r="AW18" s="37">
        <f ca="1">IF('Dados do Aluno'!$E$8="Masculino",'Dados do Aluno'!$E$12,"")</f>
        <v>36</v>
      </c>
      <c r="BC18" s="101"/>
    </row>
    <row r="19" spans="1:55" x14ac:dyDescent="0.3">
      <c r="A19" s="53">
        <v>8</v>
      </c>
      <c r="B19" s="53">
        <v>12</v>
      </c>
      <c r="C19" s="53">
        <v>16</v>
      </c>
      <c r="D19" s="53">
        <v>18</v>
      </c>
      <c r="E19" s="53">
        <v>20</v>
      </c>
      <c r="F19" s="53">
        <v>19</v>
      </c>
      <c r="G19" s="36" t="s">
        <v>98</v>
      </c>
      <c r="I19" s="49" t="s">
        <v>136</v>
      </c>
      <c r="J19" s="52" t="str">
        <f>IF('Dados do Aluno'!E8="Masculino",'Composição Corporal1'!C42,"")</f>
        <v/>
      </c>
      <c r="L19" s="112" t="s">
        <v>136</v>
      </c>
      <c r="M19" s="52" t="str">
        <f>IF('Dados do Aluno'!E8="Masculino",'Composição Corporal2'!C42,"")</f>
        <v/>
      </c>
      <c r="S19" s="101"/>
      <c r="U19" s="112" t="s">
        <v>136</v>
      </c>
      <c r="V19" s="52" t="str">
        <f>IF('Dados do Aluno'!E8="Masculino",'Composição Corporal3'!C42,"")</f>
        <v/>
      </c>
      <c r="AB19" s="101"/>
      <c r="AD19" s="112" t="s">
        <v>136</v>
      </c>
      <c r="AE19" s="52" t="str">
        <f>IF('Dados do Aluno'!$E$8="Masculino",'Composição Corporal4'!$C$42,"")</f>
        <v/>
      </c>
      <c r="AK19" s="101"/>
      <c r="AM19" s="112" t="s">
        <v>136</v>
      </c>
      <c r="AN19" s="52" t="str">
        <f>IF('Dados do Aluno'!$E$8="Masculino",'Composição Corporal5'!$C$42,"")</f>
        <v/>
      </c>
      <c r="AT19" s="101"/>
      <c r="AV19" s="112" t="s">
        <v>136</v>
      </c>
      <c r="AW19" s="52" t="str">
        <f>IF('Dados do Aluno'!$E$8="Masculino",'Composição Corporal6'!$C$42,"")</f>
        <v/>
      </c>
      <c r="BC19" s="101"/>
    </row>
    <row r="20" spans="1:55" x14ac:dyDescent="0.3">
      <c r="A20" s="53">
        <v>12</v>
      </c>
      <c r="B20" s="53">
        <v>16</v>
      </c>
      <c r="C20" s="53">
        <v>19</v>
      </c>
      <c r="D20" s="53">
        <v>21</v>
      </c>
      <c r="E20" s="53">
        <v>22</v>
      </c>
      <c r="F20" s="53">
        <v>22</v>
      </c>
      <c r="G20" s="36" t="s">
        <v>144</v>
      </c>
      <c r="I20" s="49" t="s">
        <v>103</v>
      </c>
      <c r="J20" s="39">
        <f ca="1">IF(J17="Masculino",HLOOKUP(J18,A17:F24,1,1),"")</f>
        <v>36</v>
      </c>
      <c r="L20" s="112" t="s">
        <v>103</v>
      </c>
      <c r="M20" s="39">
        <f ca="1">IF(M17="Masculino",HLOOKUP(M18,A17:F24,1,1),"")</f>
        <v>36</v>
      </c>
      <c r="S20" s="101"/>
      <c r="U20" s="112" t="s">
        <v>103</v>
      </c>
      <c r="V20" s="39">
        <f ca="1">IF(V17="Masculino",HLOOKUP(V18,$A$17:$F$24,1,1),"")</f>
        <v>36</v>
      </c>
      <c r="AB20" s="101"/>
      <c r="AD20" s="112" t="s">
        <v>103</v>
      </c>
      <c r="AE20" s="39">
        <f ca="1">IF(AE17="Masculino",HLOOKUP(AE18,$A$17:$F$24,1,1),"")</f>
        <v>36</v>
      </c>
      <c r="AK20" s="101"/>
      <c r="AM20" s="112" t="s">
        <v>103</v>
      </c>
      <c r="AN20" s="39">
        <f ca="1">IF(AN17="Masculino",HLOOKUP(AN18,$A$17:$F$24,1,1),"")</f>
        <v>36</v>
      </c>
      <c r="AT20" s="101"/>
      <c r="AV20" s="112" t="s">
        <v>103</v>
      </c>
      <c r="AW20" s="39">
        <f ca="1">IF(AW17="Masculino",HLOOKUP(AW18,$A$17:$F$24,1,1),"")</f>
        <v>36</v>
      </c>
      <c r="BC20" s="101"/>
    </row>
    <row r="21" spans="1:55" x14ac:dyDescent="0.3">
      <c r="A21" s="53">
        <v>14</v>
      </c>
      <c r="B21" s="53">
        <v>18</v>
      </c>
      <c r="C21" s="53">
        <v>21</v>
      </c>
      <c r="D21" s="53">
        <v>24</v>
      </c>
      <c r="E21" s="53">
        <v>24</v>
      </c>
      <c r="F21" s="53">
        <v>23</v>
      </c>
      <c r="G21" s="36" t="s">
        <v>110</v>
      </c>
      <c r="I21" s="49" t="s">
        <v>104</v>
      </c>
      <c r="J21" s="37">
        <f ca="1">IFERROR(MATCH(J20,A17:F17,1),"")</f>
        <v>3</v>
      </c>
      <c r="L21" s="112" t="s">
        <v>104</v>
      </c>
      <c r="M21" s="37">
        <f ca="1">IFERROR(MATCH(M20,A17:F17,1),"")</f>
        <v>3</v>
      </c>
      <c r="S21" s="101"/>
      <c r="U21" s="112" t="s">
        <v>104</v>
      </c>
      <c r="V21" s="37">
        <f ca="1">IFERROR(MATCH(V20,$A$17:$F$17,1),"")</f>
        <v>3</v>
      </c>
      <c r="AB21" s="101"/>
      <c r="AD21" s="112" t="s">
        <v>104</v>
      </c>
      <c r="AE21" s="37">
        <f ca="1">IFERROR(MATCH(AE20,$A$17:$F$17,1),"")</f>
        <v>3</v>
      </c>
      <c r="AK21" s="101"/>
      <c r="AM21" s="112" t="s">
        <v>104</v>
      </c>
      <c r="AN21" s="37">
        <f ca="1">IFERROR(MATCH(AN20,$A$17:$F$17,1),"")</f>
        <v>3</v>
      </c>
      <c r="AT21" s="101"/>
      <c r="AV21" s="112" t="s">
        <v>104</v>
      </c>
      <c r="AW21" s="37">
        <f ca="1">IFERROR(MATCH(AW20,$A$17:$F$17,1),"")</f>
        <v>3</v>
      </c>
      <c r="BC21" s="101"/>
    </row>
    <row r="22" spans="1:55" x14ac:dyDescent="0.3">
      <c r="A22" s="53">
        <v>14</v>
      </c>
      <c r="B22" s="53">
        <v>22</v>
      </c>
      <c r="C22" s="53">
        <v>24</v>
      </c>
      <c r="D22" s="53">
        <v>26</v>
      </c>
      <c r="E22" s="53">
        <v>26</v>
      </c>
      <c r="F22" s="53">
        <v>25</v>
      </c>
      <c r="G22" s="36" t="s">
        <v>145</v>
      </c>
      <c r="I22" s="49" t="s">
        <v>105</v>
      </c>
      <c r="J22" s="37" t="e">
        <f ca="1">IF(AND(J20=18,J19&lt;13),1,IF(J20=18,MATCH(J19,A18:A24,1),IF(AND(J20=26,J19&lt;14),1,IF(J20=26,MATCH(J19,B18:B24,1),IF(AND(J20=36,J19&lt;16),1,IF(J20=36,MATCH(J19,C18:C24,1),IF(AND(J20=46,J19&lt;14),1,IF(J20=46,MATCH(J19,D18:D24,1),IF(AND(J20=56,J19&lt;18),1,IF(J20=56,MATCH(J19,E18:E24,1),IF(AND(J20=65,J19&lt;16),1,IF(J20=65,MATCH(J19,F18:F24,1)))))))))))))</f>
        <v>#N/A</v>
      </c>
      <c r="L22" s="112" t="s">
        <v>105</v>
      </c>
      <c r="M22" s="37" t="e">
        <f ca="1">IF(AND(M20=18,M19&lt;13),1,IF(M20=18,MATCH(M19,A18:A24,1),IF(AND(M20=26,M19&lt;14),1,IF(M20=26,MATCH(M19,B18:B24,1),IF(AND(M20=36,M19&lt;16),1,IF(M20=36,MATCH(M19,C18:C24,1),IF(AND(M20=46,M19&lt;14),1,IF(M20=46,MATCH(M19,D18:D24,1),IF(AND(M20=56,M19&lt;18),1,IF(M20=56,MATCH(M19,E18:E24,1),IF(AND(M20=65,M19&lt;16),1,IF(M20=65,MATCH(M19,F18:F24,1)))))))))))))</f>
        <v>#N/A</v>
      </c>
      <c r="S22" s="101"/>
      <c r="U22" s="112" t="s">
        <v>105</v>
      </c>
      <c r="V22" s="37" t="e">
        <f ca="1">IF(AND(V20=18,V19&lt;13),1,IF(V20=18,MATCH(V19,A18:A24,1),IF(AND(V20=26,V19&lt;14),1,IF(V20=26,MATCH(V19,B18:B24,1),IF(AND(V20=36,V19&lt;16),1,IF(V20=36,MATCH(V19,C18:C24,1),IF(AND(V20=46,V19&lt;14),1,IF(V20=46,MATCH(V19,D18:D24,1),IF(AND(V20=56,V19&lt;18),1,IF(V20=56,MATCH(V19,E18:E24,1),IF(AND(V20=65,V19&lt;16),1,IF(V20=65,MATCH(V19,F18:F24,1)))))))))))))</f>
        <v>#N/A</v>
      </c>
      <c r="AB22" s="101"/>
      <c r="AD22" s="112" t="s">
        <v>105</v>
      </c>
      <c r="AE22" s="37" t="e">
        <f ca="1">IF(AND(AE20=18,AE19&lt;13),1,IF(AE20=18,MATCH(AE19,$A$18:$A$24,1),IF(AND(AE20=26,AE19&lt;14),1,IF(AE20=26,MATCH(AE19,$B$18:$B$24,1),IF(AND(AE20=36,AE19&lt;16),1,IF(AE20=36,MATCH(AE19,$C$18:$C$24,1),IF(AND(AE20=46,AE19&lt;14),1,IF(AE20=46,MATCH(AE19,$D$18:$D$24,1),IF(AND(AE20=56,AE19&lt;18),1,IF(AE20=56,MATCH(AE19,$E$18:$E$24,1),IF(AND(AE20=65,AE19&lt;16),1,IF(AE20=65,MATCH(AE19,$F$18:$F$24,1)))))))))))))</f>
        <v>#N/A</v>
      </c>
      <c r="AK22" s="101"/>
      <c r="AM22" s="112" t="s">
        <v>105</v>
      </c>
      <c r="AN22" s="37" t="e">
        <f ca="1">IF(AND(AN20=18,AN19&lt;13),1,IF(AN20=18,MATCH(AN19,$A$18:$A$24,1),IF(AND(AN20=26,AN19&lt;14),1,IF(AN20=26,MATCH(AN19,$B$18:$B$24,1),IF(AND(AN20=36,AN19&lt;16),1,IF(AN20=36,MATCH(AN19,$C$18:$C$24,1),IF(AND(AN20=46,AN19&lt;14),1,IF(AN20=46,MATCH(AN19,$D$18:$D$24,1),IF(AND(AN20=56,AN19&lt;18),1,IF(AN20=56,MATCH(AN19,$E$18:$E$24,1),IF(AND(AN20=65,AN19&lt;16),1,IF(AN20=65,MATCH(AN19,$F$18:$F$24,1)))))))))))))</f>
        <v>#N/A</v>
      </c>
      <c r="AT22" s="101"/>
      <c r="AV22" s="112" t="s">
        <v>105</v>
      </c>
      <c r="AW22" s="37" t="e">
        <f ca="1">IF(AND(AW20=18,AW19&lt;13),1,IF(AW20=18,MATCH(AW19,$A$18:$A$24,1),IF(AND(AW20=26,AW19&lt;14),1,IF(AW20=26,MATCH(AW19,$B$18:$B$24,1),IF(AND(AW20=36,AW19&lt;16),1,IF(AW20=36,MATCH(AW19,$C$18:$C$24,1),IF(AND(AW20=46,AW19&lt;14),1,IF(AW20=46,MATCH(AW19,$D$18:$D$24,1),IF(AND(AW20=56,AW19&lt;18),1,IF(AW20=56,MATCH(AW19,$E$18:$E$24,1),IF(AND(AW20=65,AW19&lt;16),1,IF(AW20=65,MATCH(AW19,$F$18:$F$24,1)))))))))))))</f>
        <v>#N/A</v>
      </c>
      <c r="BC22" s="101"/>
    </row>
    <row r="23" spans="1:55" x14ac:dyDescent="0.3">
      <c r="A23" s="53">
        <v>20</v>
      </c>
      <c r="B23" s="53">
        <v>24</v>
      </c>
      <c r="C23" s="53">
        <v>27</v>
      </c>
      <c r="D23" s="53">
        <v>28</v>
      </c>
      <c r="E23" s="53">
        <v>28</v>
      </c>
      <c r="F23" s="53">
        <v>27</v>
      </c>
      <c r="G23" s="36" t="s">
        <v>146</v>
      </c>
      <c r="I23" s="49" t="s">
        <v>131</v>
      </c>
      <c r="J23" s="37" t="str">
        <f ca="1">IFERROR(INDEX(A18:G24,J22,J21),"")</f>
        <v/>
      </c>
      <c r="L23" s="112" t="s">
        <v>131</v>
      </c>
      <c r="M23" s="37" t="str">
        <f ca="1">IFERROR(INDEX(A18:G24,M22,M21),"")</f>
        <v/>
      </c>
      <c r="S23" s="101"/>
      <c r="U23" s="112" t="s">
        <v>131</v>
      </c>
      <c r="V23" s="37" t="str">
        <f ca="1">IFERROR(INDEX(A18:G24,V22,V21),"")</f>
        <v/>
      </c>
      <c r="AB23" s="101"/>
      <c r="AD23" s="112" t="s">
        <v>131</v>
      </c>
      <c r="AE23" s="37" t="str">
        <f ca="1">IFERROR(INDEX($A$18:$G$24,AE22,AE21),"")</f>
        <v/>
      </c>
      <c r="AK23" s="101"/>
      <c r="AM23" s="112" t="s">
        <v>131</v>
      </c>
      <c r="AN23" s="37" t="str">
        <f ca="1">IFERROR(INDEX($A$18:$G$24,AN22,AN21),"")</f>
        <v/>
      </c>
      <c r="AT23" s="101"/>
      <c r="AV23" s="112" t="s">
        <v>131</v>
      </c>
      <c r="AW23" s="37" t="str">
        <f ca="1">IFERROR(INDEX($A$18:$G$24,AW22,AW21),"")</f>
        <v/>
      </c>
      <c r="BC23" s="101"/>
    </row>
    <row r="24" spans="1:55" x14ac:dyDescent="0.3">
      <c r="A24" s="53">
        <v>26</v>
      </c>
      <c r="B24" s="53">
        <v>28</v>
      </c>
      <c r="C24" s="53">
        <v>30</v>
      </c>
      <c r="D24" s="53">
        <v>32</v>
      </c>
      <c r="E24" s="53">
        <v>32</v>
      </c>
      <c r="F24" s="53">
        <v>31</v>
      </c>
      <c r="G24" s="36" t="s">
        <v>147</v>
      </c>
      <c r="I24" s="40" t="s">
        <v>149</v>
      </c>
      <c r="J24" s="38" t="e">
        <f ca="1">IF(J20=18,VLOOKUP(J23,GorduraH18,7,0),IF(J20=26,VLOOKUP(J23,GorduraH26,6,0),IF(J20=36,VLOOKUP(J23,GorduraH36,5,0),IF(J20=46,VLOOKUP(J23,GorduraH46,4,0),IF(J20=56,VLOOKUP(J23,GorduraH56,3,0),IF(J20=65,VLOOKUP(J23,GorduraH65,2,0)))))))</f>
        <v>#N/A</v>
      </c>
      <c r="L24" s="111" t="s">
        <v>149</v>
      </c>
      <c r="M24" s="38" t="e">
        <f ca="1">IF(M20=18,VLOOKUP(M23,GorduraH18,7,0),IF(M20=26,VLOOKUP(M23,GorduraH26,6,0),IF(M20=36,VLOOKUP(M23,GorduraH36,5,0),IF(M20=46,VLOOKUP(M23,GorduraH46,4,0),IF(M20=56,VLOOKUP(M23,GorduraH56,3,0),IF(M20=65,VLOOKUP(M23,GorduraH65,2,0)))))))</f>
        <v>#N/A</v>
      </c>
      <c r="S24" s="101"/>
      <c r="U24" s="111" t="s">
        <v>149</v>
      </c>
      <c r="V24" s="38" t="e">
        <f ca="1">IF(V20=18,VLOOKUP(V23,GorduraH18,7,0),IF(V20=26,VLOOKUP(V23,GorduraH26,6,0),IF(V20=36,VLOOKUP(V23,GorduraH36,5,0),IF(V20=46,VLOOKUP(V23,GorduraH46,4,0),IF(V20=56,VLOOKUP(V23,GorduraH56,3,0),IF(V20=65,VLOOKUP(V23,GorduraH65,2,0)))))))</f>
        <v>#N/A</v>
      </c>
      <c r="AB24" s="101"/>
      <c r="AD24" s="111" t="s">
        <v>149</v>
      </c>
      <c r="AE24" s="38" t="e">
        <f ca="1">IF(AE20=18,VLOOKUP(AE23,GorduraH18,7,0),IF(AE20=26,VLOOKUP(AE23,GorduraH26,6,0),IF(AE20=36,VLOOKUP(AE23,GorduraH36,5,0),IF(AE20=46,VLOOKUP(AE23,GorduraH46,4,0),IF(AE20=56,VLOOKUP(AE23,GorduraH56,3,0),IF(AE20=65,VLOOKUP(AE23,GorduraH65,2,0)))))))</f>
        <v>#N/A</v>
      </c>
      <c r="AK24" s="101"/>
      <c r="AM24" s="111" t="s">
        <v>149</v>
      </c>
      <c r="AN24" s="38" t="e">
        <f ca="1">IF(AN20=18,VLOOKUP(AN23,GorduraH18,7,0),IF(AN20=26,VLOOKUP(AN23,GorduraH26,6,0),IF(AN20=36,VLOOKUP(AN23,GorduraH36,5,0),IF(AN20=46,VLOOKUP(AN23,GorduraH46,4,0),IF(AN20=56,VLOOKUP(AN23,GorduraH56,3,0),IF(AN20=65,VLOOKUP(AN23,GorduraH65,2,0)))))))</f>
        <v>#N/A</v>
      </c>
      <c r="AT24" s="101"/>
      <c r="AV24" s="111" t="s">
        <v>149</v>
      </c>
      <c r="AW24" s="38" t="e">
        <f ca="1">IF(AW20=18,VLOOKUP(AW23,GorduraH18,7,0),IF(AW20=26,VLOOKUP(AW23,GorduraH26,6,0),IF(AW20=36,VLOOKUP(AW23,GorduraH36,5,0),IF(AW20=46,VLOOKUP(AW23,GorduraH46,4,0),IF(AW20=56,VLOOKUP(AW23,GorduraH56,3,0),IF(AW20=65,VLOOKUP(AW23,GorduraH65,2,0)))))))</f>
        <v>#N/A</v>
      </c>
      <c r="BC24" s="101"/>
    </row>
    <row r="25" spans="1:55" ht="15.6" x14ac:dyDescent="0.3">
      <c r="A25" s="222" t="s">
        <v>101</v>
      </c>
      <c r="B25" s="222"/>
      <c r="C25" s="222"/>
      <c r="D25" s="222"/>
      <c r="E25" s="222"/>
      <c r="F25" s="222"/>
      <c r="G25" s="222"/>
      <c r="L25" s="100"/>
      <c r="S25" s="101"/>
      <c r="U25" s="100"/>
      <c r="AB25" s="101"/>
      <c r="AD25" s="100"/>
      <c r="AK25" s="101"/>
      <c r="AM25" s="100"/>
      <c r="AT25" s="101"/>
      <c r="AV25" s="100"/>
      <c r="BC25" s="101"/>
    </row>
    <row r="26" spans="1:55" x14ac:dyDescent="0.3">
      <c r="A26" s="38">
        <v>18</v>
      </c>
      <c r="B26" s="38">
        <v>26</v>
      </c>
      <c r="C26" s="38">
        <v>36</v>
      </c>
      <c r="D26" s="38">
        <v>46</v>
      </c>
      <c r="E26" s="38">
        <v>56</v>
      </c>
      <c r="F26" s="38">
        <v>65</v>
      </c>
      <c r="G26" s="38" t="s">
        <v>143</v>
      </c>
      <c r="I26" s="40" t="s">
        <v>1</v>
      </c>
      <c r="J26" s="37" t="str">
        <f>IF('Dados do Aluno'!E8="Feminino",'Dados do Aluno'!E8,"")</f>
        <v/>
      </c>
      <c r="L26" s="111" t="s">
        <v>1</v>
      </c>
      <c r="M26" s="37" t="str">
        <f>IF('Dados do Aluno'!E8="Feminino",'Dados do Aluno'!E8,"")</f>
        <v/>
      </c>
      <c r="S26" s="101"/>
      <c r="U26" s="111" t="s">
        <v>1</v>
      </c>
      <c r="V26" s="37" t="str">
        <f>IF('Dados do Aluno'!E8="Feminino",'Dados do Aluno'!E8,"")</f>
        <v/>
      </c>
      <c r="AB26" s="101"/>
      <c r="AD26" s="111" t="s">
        <v>1</v>
      </c>
      <c r="AE26" s="37" t="str">
        <f>IF('Dados do Aluno'!$E$8="Feminino",'Dados do Aluno'!$E$8,"")</f>
        <v/>
      </c>
      <c r="AK26" s="101"/>
      <c r="AM26" s="111" t="s">
        <v>1</v>
      </c>
      <c r="AN26" s="37" t="str">
        <f>IF('Dados do Aluno'!$E$8="Feminino",'Dados do Aluno'!$E$8,"")</f>
        <v/>
      </c>
      <c r="AT26" s="101"/>
      <c r="AV26" s="111" t="s">
        <v>1</v>
      </c>
      <c r="AW26" s="37" t="str">
        <f>IF('Dados do Aluno'!$E$8="Feminino",'Dados do Aluno'!$E$8,"")</f>
        <v/>
      </c>
      <c r="BC26" s="101"/>
    </row>
    <row r="27" spans="1:55" x14ac:dyDescent="0.3">
      <c r="A27" s="37">
        <v>13</v>
      </c>
      <c r="B27" s="37">
        <v>14</v>
      </c>
      <c r="C27" s="37">
        <v>16</v>
      </c>
      <c r="D27" s="37">
        <v>14</v>
      </c>
      <c r="E27" s="37">
        <v>18</v>
      </c>
      <c r="F27" s="37">
        <v>16</v>
      </c>
      <c r="G27" s="37" t="s">
        <v>99</v>
      </c>
      <c r="I27" s="40" t="s">
        <v>3</v>
      </c>
      <c r="J27" s="37" t="str">
        <f>IF('Dados do Aluno'!E8="Feminino",'Dados do Aluno'!E12,"")</f>
        <v/>
      </c>
      <c r="L27" s="111" t="s">
        <v>3</v>
      </c>
      <c r="M27" s="37" t="str">
        <f>IF('Dados do Aluno'!E8="Feminino",'Dados do Aluno'!E12,"")</f>
        <v/>
      </c>
      <c r="S27" s="101"/>
      <c r="U27" s="111" t="s">
        <v>3</v>
      </c>
      <c r="V27" s="37" t="str">
        <f>IF('Dados do Aluno'!E8="Feminino",'Dados do Aluno'!E12,"")</f>
        <v/>
      </c>
      <c r="AB27" s="101"/>
      <c r="AD27" s="111" t="s">
        <v>3</v>
      </c>
      <c r="AE27" s="37" t="str">
        <f>IF('Dados do Aluno'!$E$8="Feminino",'Dados do Aluno'!$E$12,"")</f>
        <v/>
      </c>
      <c r="AK27" s="101"/>
      <c r="AM27" s="111" t="s">
        <v>3</v>
      </c>
      <c r="AN27" s="37" t="str">
        <f>IF('Dados do Aluno'!$E$8="Feminino",'Dados do Aluno'!$E$12,"")</f>
        <v/>
      </c>
      <c r="AT27" s="101"/>
      <c r="AV27" s="111" t="s">
        <v>3</v>
      </c>
      <c r="AW27" s="37" t="str">
        <f>IF('Dados do Aluno'!$E$8="Feminino",'Dados do Aluno'!$E$12,"")</f>
        <v/>
      </c>
      <c r="BC27" s="101"/>
    </row>
    <row r="28" spans="1:55" x14ac:dyDescent="0.3">
      <c r="A28" s="37">
        <v>17</v>
      </c>
      <c r="B28" s="37">
        <v>18</v>
      </c>
      <c r="C28" s="37">
        <v>20</v>
      </c>
      <c r="D28" s="37">
        <v>23</v>
      </c>
      <c r="E28" s="37">
        <v>25</v>
      </c>
      <c r="F28" s="37">
        <v>22</v>
      </c>
      <c r="G28" s="37" t="s">
        <v>98</v>
      </c>
      <c r="I28" s="49" t="s">
        <v>136</v>
      </c>
      <c r="J28" s="52" t="str">
        <f>IF('Dados do Aluno'!E8="Feminino",'Composição Corporal1'!C42,"")</f>
        <v/>
      </c>
      <c r="L28" s="112" t="s">
        <v>136</v>
      </c>
      <c r="M28" s="52" t="str">
        <f>IF('Dados do Aluno'!E8="Feminino",'Composição Corporal2'!C42,"")</f>
        <v/>
      </c>
      <c r="S28" s="101"/>
      <c r="U28" s="112" t="s">
        <v>136</v>
      </c>
      <c r="V28" s="52" t="str">
        <f>IF('Dados do Aluno'!E8="Feminino",'Composição Corporal3'!C42,"")</f>
        <v/>
      </c>
      <c r="AB28" s="101"/>
      <c r="AD28" s="112" t="s">
        <v>136</v>
      </c>
      <c r="AE28" s="52" t="str">
        <f>IF('Dados do Aluno'!$E$8="Feminino",'Composição Corporal4'!$C$42,"")</f>
        <v/>
      </c>
      <c r="AK28" s="101"/>
      <c r="AM28" s="112" t="s">
        <v>136</v>
      </c>
      <c r="AN28" s="52" t="str">
        <f>IF('Dados do Aluno'!$E$8="Feminino",'Composição Corporal5'!$C$42,"")</f>
        <v/>
      </c>
      <c r="AT28" s="101"/>
      <c r="AV28" s="112" t="s">
        <v>136</v>
      </c>
      <c r="AW28" s="52" t="str">
        <f>IF('Dados do Aluno'!$E$8="Feminino",'Composição Corporal6'!$C$42,"")</f>
        <v/>
      </c>
      <c r="BC28" s="101"/>
    </row>
    <row r="29" spans="1:55" x14ac:dyDescent="0.3">
      <c r="A29" s="37">
        <v>20</v>
      </c>
      <c r="B29" s="37">
        <v>21</v>
      </c>
      <c r="C29" s="37">
        <v>24</v>
      </c>
      <c r="D29" s="37">
        <v>26</v>
      </c>
      <c r="E29" s="37">
        <v>27</v>
      </c>
      <c r="F29" s="37">
        <v>27</v>
      </c>
      <c r="G29" s="37" t="s">
        <v>144</v>
      </c>
      <c r="I29" s="49" t="s">
        <v>103</v>
      </c>
      <c r="J29" s="39" t="str">
        <f>IF(J26="Feminino",HLOOKUP(J27,A26:F33,1,1),"")</f>
        <v/>
      </c>
      <c r="L29" s="112" t="s">
        <v>103</v>
      </c>
      <c r="M29" s="39" t="str">
        <f>IF(M26="Feminino",HLOOKUP(M27,A26:F33,1,1),"")</f>
        <v/>
      </c>
      <c r="S29" s="101"/>
      <c r="U29" s="112" t="s">
        <v>103</v>
      </c>
      <c r="V29" s="39" t="str">
        <f>IF(V26="Feminino",HLOOKUP(V27,$A$26:$F$33,1,1),"")</f>
        <v/>
      </c>
      <c r="AB29" s="101"/>
      <c r="AD29" s="112" t="s">
        <v>103</v>
      </c>
      <c r="AE29" s="39" t="str">
        <f>IF(AE26="Feminino",HLOOKUP(AE27,$A$26:$F$33,1,1),"")</f>
        <v/>
      </c>
      <c r="AK29" s="101"/>
      <c r="AM29" s="112" t="s">
        <v>103</v>
      </c>
      <c r="AN29" s="39" t="str">
        <f>IF(AN26="Feminino",HLOOKUP(AN27,$A$26:$F$33,1,1),"")</f>
        <v/>
      </c>
      <c r="AT29" s="101"/>
      <c r="AV29" s="112" t="s">
        <v>103</v>
      </c>
      <c r="AW29" s="39" t="str">
        <f>IF(AW26="Feminino",HLOOKUP(AW27,$A$26:$F$33,1,1),"")</f>
        <v/>
      </c>
      <c r="BC29" s="101"/>
    </row>
    <row r="30" spans="1:55" x14ac:dyDescent="0.3">
      <c r="A30" s="37">
        <v>23</v>
      </c>
      <c r="B30" s="37">
        <v>24</v>
      </c>
      <c r="C30" s="37">
        <v>27</v>
      </c>
      <c r="D30" s="37">
        <v>29</v>
      </c>
      <c r="E30" s="37">
        <v>30</v>
      </c>
      <c r="F30" s="37">
        <v>30</v>
      </c>
      <c r="G30" s="37" t="s">
        <v>110</v>
      </c>
      <c r="I30" s="49" t="s">
        <v>104</v>
      </c>
      <c r="J30" s="37" t="str">
        <f>IFERROR(MATCH(J29,A26:F26,1),"")</f>
        <v/>
      </c>
      <c r="L30" s="112" t="s">
        <v>104</v>
      </c>
      <c r="M30" s="37" t="str">
        <f>IFERROR(MATCH(M29,A26:F26,1),"")</f>
        <v/>
      </c>
      <c r="S30" s="101"/>
      <c r="U30" s="112" t="s">
        <v>104</v>
      </c>
      <c r="V30" s="37" t="str">
        <f>IFERROR(MATCH(V29,$A$26:$F$26,1),"")</f>
        <v/>
      </c>
      <c r="AB30" s="101"/>
      <c r="AD30" s="112" t="s">
        <v>104</v>
      </c>
      <c r="AE30" s="37" t="str">
        <f>IFERROR(MATCH(AE29,$A$26:$F$26,1),"")</f>
        <v/>
      </c>
      <c r="AK30" s="101"/>
      <c r="AM30" s="112" t="s">
        <v>104</v>
      </c>
      <c r="AN30" s="37" t="str">
        <f>IFERROR(MATCH(AN29,$A$26:$F$26,1),"")</f>
        <v/>
      </c>
      <c r="AT30" s="101"/>
      <c r="AV30" s="112" t="s">
        <v>104</v>
      </c>
      <c r="AW30" s="37" t="str">
        <f>IFERROR(MATCH(AW29,$A$26:$F$26,1),"")</f>
        <v/>
      </c>
      <c r="BC30" s="101"/>
    </row>
    <row r="31" spans="1:55" x14ac:dyDescent="0.3">
      <c r="A31" s="37">
        <v>26</v>
      </c>
      <c r="B31" s="37">
        <v>27</v>
      </c>
      <c r="C31" s="37">
        <v>30</v>
      </c>
      <c r="D31" s="37">
        <v>32</v>
      </c>
      <c r="E31" s="37">
        <v>33</v>
      </c>
      <c r="F31" s="37">
        <v>32</v>
      </c>
      <c r="G31" s="37" t="s">
        <v>145</v>
      </c>
      <c r="I31" s="49" t="s">
        <v>105</v>
      </c>
      <c r="J31" s="37" t="b">
        <f>IF(AND(J29=18,J28&lt;13),1,IF(J29=18,MATCH(J28,A27:A33,1),IF(AND(J29=26,J28&lt;14),1,IF(J29=26,MATCH(J28,B27:B33,1),IF(AND(J29=36,J28&lt;16),1,IF(J29=36,MATCH(J28,C27:C33,1),IF(AND(J29=46,J28&lt;14),1,IF(J29=46,MATCH(J28,D27:D33,1),IF(AND(J29=56,J28&lt;18),1,IF(J29=56,MATCH(J28,E27:E33,1),IF(AND(J29=65,J28&lt;16),1,IF(J29=65,MATCH(J28,F27:F33,1)))))))))))))</f>
        <v>0</v>
      </c>
      <c r="L31" s="112" t="s">
        <v>105</v>
      </c>
      <c r="M31" s="37" t="b">
        <f>IF(AND(M29=18,M28&lt;13),1,IF(M29=18,MATCH(M28,A27:A33,1),IF(AND(M29=26,M28&lt;14),1,IF(M29=26,MATCH(M28,B27:B33,1),IF(AND(M29=36,M28&lt;16),1,IF(M29=36,MATCH(M28,C27:C33,1),IF(AND(M29=46,M28&lt;14),1,IF(M29=46,MATCH(M28,D27:D33,1),IF(AND(M29=56,M28&lt;18),1,IF(M29=56,MATCH(M28,E27:E33,1),IF(AND(M29=65,M28&lt;16),1,IF(M29=65,MATCH(M28,F27:F33,1)))))))))))))</f>
        <v>0</v>
      </c>
      <c r="S31" s="101"/>
      <c r="U31" s="112" t="s">
        <v>105</v>
      </c>
      <c r="V31" s="37" t="b">
        <f>IF(AND(V29=18,V28&lt;13),1,IF(V29=18,MATCH(V28,A27:A33,1),IF(AND(V29=26,V28&lt;14),1,IF(V29=26,MATCH(V28,B27:B33,1),IF(AND(V29=36,V28&lt;16),1,IF(V29=36,MATCH(V28,C27:C33,1),IF(AND(V29=46,V28&lt;14),1,IF(V29=46,MATCH(V28,D27:D33,1),IF(AND(V29=56,V28&lt;18),1,IF(V29=56,MATCH(V28,E27:E33,1),IF(AND(V29=65,V28&lt;16),1,IF(V29=65,MATCH(V28,F27:F33,1)))))))))))))</f>
        <v>0</v>
      </c>
      <c r="AB31" s="101"/>
      <c r="AD31" s="112" t="s">
        <v>105</v>
      </c>
      <c r="AE31" s="37" t="b">
        <f>IF(AND(AE29=18,AE28&lt;13),1,IF(AE29=18,MATCH(AE28,$A$27:$A$33,1),IF(AND(AE29=26,AE28&lt;14),1,IF(AE29=26,MATCH(AE28,$B$27:$B$33,1),IF(AND(AE29=36,AE28&lt;16),1,IF(AE29=36,MATCH(AE28,$C$27:$C$33,1),IF(AND(AE29=46,AE28&lt;14),1,IF(AE29=46,MATCH(AE28,$D27:D$33,1),IF(AND(AE29=56,AE28&lt;18),1,IF(AE29=56,MATCH(AE28,$E$27:$E$33,1),IF(AND(AE29=65,AE28&lt;16),1,IF(AE29=65,MATCH(AE28,$F$27:$F$33,1)))))))))))))</f>
        <v>0</v>
      </c>
      <c r="AK31" s="101"/>
      <c r="AM31" s="112" t="s">
        <v>105</v>
      </c>
      <c r="AN31" s="37" t="b">
        <f>IF(AND(AN29=18,AN28&lt;13),1,IF(AN29=18,MATCH(AN28,$A$27:$A$33,1),IF(AND(AN29=26,AN28&lt;14),1,IF(AN29=26,MATCH(AN28,$B$27:$B$33,1),IF(AND(AN29=36,AN28&lt;16),1,IF(AN29=36,MATCH(AN28,$C$27:$C$33,1),IF(AND(AN29=46,AN28&lt;14),1,IF(AN29=46,MATCH(AN28,$D27:D$33,1),IF(AND(AN29=56,AN28&lt;18),1,IF(AN29=56,MATCH(AN28,$E$27:$E$33,1),IF(AND(AN29=65,AN28&lt;16),1,IF(AN29=65,MATCH(AN28,$F$27:$F$33,1)))))))))))))</f>
        <v>0</v>
      </c>
      <c r="AT31" s="101"/>
      <c r="AV31" s="112" t="s">
        <v>105</v>
      </c>
      <c r="AW31" s="37" t="b">
        <f>IF(AND(AW29=18,AW28&lt;13),1,IF(AW29=18,MATCH(AW28,$A$27:$A$33,1),IF(AND(AW29=26,AW28&lt;14),1,IF(AW29=26,MATCH(AW28,$B$27:$B$33,1),IF(AND(AW29=36,AW28&lt;16),1,IF(AW29=36,MATCH(AW28,$C$27:$C$33,1),IF(AND(AW29=46,AW28&lt;14),1,IF(AW29=46,MATCH(AW28,$D$27:$D$33,1),IF(AND(AW29=56,AW28&lt;18),1,IF(AW29=56,MATCH(AW28,$E$27:$E$33,1),IF(AND(AW29=65,AW28&lt;16),1,IF(AW29=65,MATCH(AW28,$F$27:$F$33,1)))))))))))))</f>
        <v>0</v>
      </c>
      <c r="BC31" s="101"/>
    </row>
    <row r="32" spans="1:55" x14ac:dyDescent="0.3">
      <c r="A32" s="37">
        <v>29</v>
      </c>
      <c r="B32" s="37">
        <v>31</v>
      </c>
      <c r="C32" s="37">
        <v>33</v>
      </c>
      <c r="D32" s="37">
        <v>35</v>
      </c>
      <c r="E32" s="37">
        <v>36</v>
      </c>
      <c r="F32" s="37">
        <v>35</v>
      </c>
      <c r="G32" s="37" t="s">
        <v>146</v>
      </c>
      <c r="I32" s="49" t="s">
        <v>131</v>
      </c>
      <c r="J32" s="37" t="str">
        <f>IFERROR(INDEX(A27:G33,J31,J30),"")</f>
        <v/>
      </c>
      <c r="L32" s="112" t="s">
        <v>131</v>
      </c>
      <c r="M32" s="37" t="str">
        <f>IFERROR(INDEX(A27:G33,M31,M30),"")</f>
        <v/>
      </c>
      <c r="S32" s="101"/>
      <c r="U32" s="112" t="s">
        <v>131</v>
      </c>
      <c r="V32" s="37" t="str">
        <f>IFERROR(INDEX($A$27:$G$33,V31,V30),"")</f>
        <v/>
      </c>
      <c r="AB32" s="101"/>
      <c r="AD32" s="112" t="s">
        <v>131</v>
      </c>
      <c r="AE32" s="37" t="str">
        <f>IFERROR(INDEX($A$27:$G$33,AE31,AE30),"")</f>
        <v/>
      </c>
      <c r="AK32" s="101"/>
      <c r="AM32" s="112" t="s">
        <v>131</v>
      </c>
      <c r="AN32" s="37" t="str">
        <f>IFERROR(INDEX($A$27:$G$33,AN31,AN30),"")</f>
        <v/>
      </c>
      <c r="AT32" s="101"/>
      <c r="AV32" s="112" t="s">
        <v>131</v>
      </c>
      <c r="AW32" s="37" t="str">
        <f>IFERROR(INDEX($A$27:$G$33,AW31,AW30),"")</f>
        <v/>
      </c>
      <c r="BC32" s="101"/>
    </row>
    <row r="33" spans="1:55" x14ac:dyDescent="0.3">
      <c r="A33" s="37">
        <v>33</v>
      </c>
      <c r="B33" s="37">
        <v>36</v>
      </c>
      <c r="C33" s="37">
        <v>38</v>
      </c>
      <c r="D33" s="37">
        <v>39</v>
      </c>
      <c r="E33" s="37">
        <v>39</v>
      </c>
      <c r="F33" s="37">
        <v>38</v>
      </c>
      <c r="G33" s="37" t="s">
        <v>147</v>
      </c>
      <c r="I33" s="40" t="s">
        <v>149</v>
      </c>
      <c r="J33" s="38" t="b">
        <f>IF(J29=18,VLOOKUP(J32,GorduraM18,7,0),IF(J29=26,VLOOKUP(J32,GorduraM26,6,0),IF(J29=36,VLOOKUP(J32,GorduraM36,5,0),IF(J29=46,VLOOKUP(J32,GorduraM46,4,0),IF(J29=56,VLOOKUP(J32,GorduraM56,3,0),IF(J29=65,VLOOKUP(J32,GorduraM65,2,0)))))))</f>
        <v>0</v>
      </c>
      <c r="L33" s="111" t="s">
        <v>149</v>
      </c>
      <c r="M33" s="38" t="b">
        <f>IF(M29=18,VLOOKUP(M32,GorduraM18,7,0),IF(M29=26,VLOOKUP(M32,GorduraM26,6,0),IF(M29=36,VLOOKUP(M32,GorduraM36,5,0),IF(M29=46,VLOOKUP(M32,GorduraM46,4,0),IF(M29=56,VLOOKUP(M32,GorduraM56,3,0),IF(M29=65,VLOOKUP(M32,GorduraM65,2,0)))))))</f>
        <v>0</v>
      </c>
      <c r="S33" s="101"/>
      <c r="U33" s="111" t="s">
        <v>149</v>
      </c>
      <c r="V33" s="38" t="b">
        <f>IF(V29=18,VLOOKUP(V32,GorduraM18,7,0),IF(V29=26,VLOOKUP(V32,GorduraM26,6,0),IF(V29=36,VLOOKUP(V32,GorduraM36,5,0),IF(V29=46,VLOOKUP(V32,GorduraM46,4,0),IF(V29=56,VLOOKUP(V32,GorduraM56,3,0),IF(V29=65,VLOOKUP(V32,GorduraM65,2,0)))))))</f>
        <v>0</v>
      </c>
      <c r="AB33" s="101"/>
      <c r="AD33" s="111" t="s">
        <v>149</v>
      </c>
      <c r="AE33" s="38" t="b">
        <f>IF(AE29=18,VLOOKUP(AE32,GorduraM18,7,0),IF(AE29=26,VLOOKUP(AE32,GorduraM26,6,0),IF(AE29=36,VLOOKUP(AE32,GorduraM36,5,0),IF(AE29=46,VLOOKUP(AE32,GorduraM46,4,0),IF(AE29=56,VLOOKUP(AE32,GorduraM56,3,0),IF(AE29=65,VLOOKUP(AE32,GorduraM65,2,0)))))))</f>
        <v>0</v>
      </c>
      <c r="AK33" s="101"/>
      <c r="AM33" s="111" t="s">
        <v>149</v>
      </c>
      <c r="AN33" s="38" t="b">
        <f>IF(AN29=18,VLOOKUP(AN32,GorduraM18,7,0),IF(AN29=26,VLOOKUP(AN32,GorduraM26,6,0),IF(AN29=36,VLOOKUP(AN32,GorduraM36,5,0),IF(AN29=46,VLOOKUP(AN32,GorduraM46,4,0),IF(AN29=56,VLOOKUP(AN32,GorduraM56,3,0),IF(AN29=65,VLOOKUP(AN32,GorduraM65,2,0)))))))</f>
        <v>0</v>
      </c>
      <c r="AT33" s="101"/>
      <c r="AV33" s="111" t="s">
        <v>149</v>
      </c>
      <c r="AW33" s="38" t="b">
        <f>IF(AW29=18,VLOOKUP(AW32,GorduraM18,7,0),IF(AW29=26,VLOOKUP(AW32,GorduraM26,6,0),IF(AW29=36,VLOOKUP(AW32,GorduraM36,5,0),IF(AW29=46,VLOOKUP(AW32,GorduraM46,4,0),IF(AW29=56,VLOOKUP(AW32,GorduraM56,3,0),IF(AW29=65,VLOOKUP(AW32,GorduraM65,2,0)))))))</f>
        <v>0</v>
      </c>
      <c r="BC33" s="101"/>
    </row>
    <row r="34" spans="1:55" ht="15" thickBot="1" x14ac:dyDescent="0.35">
      <c r="L34" s="113"/>
      <c r="M34" s="108"/>
      <c r="N34" s="108"/>
      <c r="O34" s="108"/>
      <c r="P34" s="108"/>
      <c r="Q34" s="108"/>
      <c r="R34" s="108"/>
      <c r="S34" s="110"/>
      <c r="U34" s="113"/>
      <c r="V34" s="108"/>
      <c r="W34" s="108"/>
      <c r="X34" s="108"/>
      <c r="Y34" s="108"/>
      <c r="Z34" s="108"/>
      <c r="AA34" s="108"/>
      <c r="AB34" s="110"/>
      <c r="AD34" s="113"/>
      <c r="AE34" s="108"/>
      <c r="AF34" s="108"/>
      <c r="AG34" s="108"/>
      <c r="AH34" s="108"/>
      <c r="AI34" s="108"/>
      <c r="AJ34" s="108"/>
      <c r="AK34" s="110"/>
      <c r="AM34" s="113"/>
      <c r="AN34" s="108"/>
      <c r="AO34" s="108"/>
      <c r="AP34" s="108"/>
      <c r="AQ34" s="108"/>
      <c r="AR34" s="108"/>
      <c r="AS34" s="108"/>
      <c r="AT34" s="110"/>
      <c r="AV34" s="113"/>
      <c r="AW34" s="108"/>
      <c r="AX34" s="108"/>
      <c r="AY34" s="108"/>
      <c r="AZ34" s="108"/>
      <c r="BA34" s="108"/>
      <c r="BB34" s="108"/>
      <c r="BC34" s="110"/>
    </row>
    <row r="35" spans="1:55" ht="15.6" x14ac:dyDescent="0.3">
      <c r="A35" s="222" t="s">
        <v>190</v>
      </c>
      <c r="B35" s="222"/>
      <c r="C35" s="222"/>
      <c r="D35" s="222"/>
      <c r="E35" s="222"/>
      <c r="F35" s="222"/>
      <c r="G35" s="136"/>
    </row>
    <row r="36" spans="1:55" x14ac:dyDescent="0.3">
      <c r="A36" s="38" t="s">
        <v>169</v>
      </c>
      <c r="B36" s="38" t="s">
        <v>174</v>
      </c>
      <c r="C36" s="38" t="s">
        <v>175</v>
      </c>
      <c r="D36" s="38" t="s">
        <v>176</v>
      </c>
      <c r="E36" s="38" t="s">
        <v>177</v>
      </c>
      <c r="F36" s="38" t="s">
        <v>143</v>
      </c>
      <c r="G36" s="102" t="str">
        <f>'Composição Corporal1'!M34</f>
        <v/>
      </c>
    </row>
    <row r="37" spans="1:55" x14ac:dyDescent="0.3">
      <c r="A37" s="37">
        <v>0.01</v>
      </c>
      <c r="B37" s="135">
        <v>0.01</v>
      </c>
      <c r="C37" s="135">
        <v>0.01</v>
      </c>
      <c r="D37" s="135">
        <v>0.01</v>
      </c>
      <c r="E37" s="37">
        <v>0.01</v>
      </c>
      <c r="F37" s="36" t="s">
        <v>170</v>
      </c>
      <c r="G37" s="35" t="b">
        <f ca="1">IF(AND('Dados do Aluno'!E8="Feminino",'Dados do Aluno'!E12&lt;=29),VLOOKUP(G36,A37:F40,6,TRUE),IF(AND('Dados do Aluno'!E8="Feminino",'Dados do Aluno'!E12&lt;=39),VLOOKUP(G36,B37:F40,5,TRUE),IF(AND('Dados do Aluno'!E8="Feminino",'Dados do Aluno'!E12&lt;=49),VLOOKUP(G36,C37:F40,4,TRUE),IF(AND('Dados do Aluno'!E8="Feminino",'Dados do Aluno'!E12&lt;=59),VLOOKUP(G36,D37:F40,3,TRUE),IF(AND('Dados do Aluno'!E8="Feminino",'Dados do Aluno'!E12&lt;=69),VLOOKUP(G36,E37:F41,2,TRUE))))))</f>
        <v>0</v>
      </c>
    </row>
    <row r="38" spans="1:55" x14ac:dyDescent="0.3">
      <c r="A38" s="37">
        <v>0.71</v>
      </c>
      <c r="B38" s="135">
        <v>0.72</v>
      </c>
      <c r="C38" s="135">
        <v>0.73</v>
      </c>
      <c r="D38" s="135">
        <v>0.74</v>
      </c>
      <c r="E38" s="37">
        <v>0.76</v>
      </c>
      <c r="F38" s="36" t="s">
        <v>171</v>
      </c>
    </row>
    <row r="39" spans="1:55" x14ac:dyDescent="0.3">
      <c r="A39" s="37">
        <v>0.78</v>
      </c>
      <c r="B39" s="135">
        <v>0.79</v>
      </c>
      <c r="C39" s="135">
        <v>0.8</v>
      </c>
      <c r="D39" s="135">
        <v>0.82</v>
      </c>
      <c r="E39" s="37">
        <v>0.84</v>
      </c>
      <c r="F39" s="36" t="s">
        <v>172</v>
      </c>
    </row>
    <row r="40" spans="1:55" x14ac:dyDescent="0.3">
      <c r="A40" s="37">
        <v>0.83</v>
      </c>
      <c r="B40" s="135">
        <v>0.85</v>
      </c>
      <c r="C40" s="135">
        <v>0.88</v>
      </c>
      <c r="D40" s="135">
        <v>0.89</v>
      </c>
      <c r="E40" s="37">
        <v>0.91</v>
      </c>
      <c r="F40" s="36" t="s">
        <v>173</v>
      </c>
    </row>
    <row r="42" spans="1:55" ht="15.6" x14ac:dyDescent="0.3">
      <c r="A42" s="222" t="s">
        <v>191</v>
      </c>
      <c r="B42" s="222"/>
      <c r="C42" s="222"/>
      <c r="D42" s="222"/>
      <c r="E42" s="222"/>
      <c r="F42" s="222"/>
    </row>
    <row r="43" spans="1:55" x14ac:dyDescent="0.3">
      <c r="A43" s="38" t="s">
        <v>169</v>
      </c>
      <c r="B43" s="38" t="s">
        <v>174</v>
      </c>
      <c r="C43" s="38" t="s">
        <v>175</v>
      </c>
      <c r="D43" s="38" t="s">
        <v>176</v>
      </c>
      <c r="E43" s="38" t="s">
        <v>177</v>
      </c>
      <c r="F43" s="38" t="s">
        <v>143</v>
      </c>
    </row>
    <row r="44" spans="1:55" x14ac:dyDescent="0.3">
      <c r="A44" s="37">
        <v>0.01</v>
      </c>
      <c r="B44" s="135">
        <v>0.01</v>
      </c>
      <c r="C44" s="135">
        <v>0.01</v>
      </c>
      <c r="D44" s="135">
        <v>0.01</v>
      </c>
      <c r="E44" s="37">
        <v>0.01</v>
      </c>
      <c r="F44" s="36" t="s">
        <v>170</v>
      </c>
      <c r="G44" t="e">
        <f ca="1">IF(AND('Dados do Aluno'!E8="Masculino",'Dados do Aluno'!E12&lt;=29),VLOOKUP(G36,A44:F47,6,TRUE),IF(AND('Dados do Aluno'!E8="Masculino",'Dados do Aluno'!E12&lt;=39),VLOOKUP(G36,B44:F47,5,TRUE),IF(AND('Dados do Aluno'!E8="Masculino",'Dados do Aluno'!E12&lt;=49),VLOOKUP(G36,C44:F47,4,TRUE),IF(AND('Dados do Aluno'!E8="Masculino",'Dados do Aluno'!E12&lt;=59),VLOOKUP(G36,D44:F47,3,TRUE),IF(AND('Dados do Aluno'!E8="Masculino",'Dados do Aluno'!E12&lt;=69),VLOOKUP(G36,E44:F47,2,TRUE))))))</f>
        <v>#N/A</v>
      </c>
    </row>
    <row r="45" spans="1:55" x14ac:dyDescent="0.3">
      <c r="A45" s="37">
        <v>0.83</v>
      </c>
      <c r="B45" s="135">
        <v>0.84</v>
      </c>
      <c r="C45" s="135">
        <v>0.88</v>
      </c>
      <c r="D45" s="135">
        <v>0.9</v>
      </c>
      <c r="E45" s="37">
        <v>0.91</v>
      </c>
      <c r="F45" s="36" t="s">
        <v>171</v>
      </c>
    </row>
    <row r="46" spans="1:55" x14ac:dyDescent="0.3">
      <c r="A46" s="37">
        <v>0.89</v>
      </c>
      <c r="B46" s="135">
        <v>0.92</v>
      </c>
      <c r="C46" s="135">
        <v>0.96</v>
      </c>
      <c r="D46" s="135">
        <v>0.97</v>
      </c>
      <c r="E46" s="37">
        <v>0.99</v>
      </c>
      <c r="F46" s="36" t="s">
        <v>172</v>
      </c>
    </row>
    <row r="47" spans="1:55" x14ac:dyDescent="0.3">
      <c r="A47" s="37">
        <v>0.95</v>
      </c>
      <c r="B47" s="135">
        <v>0.96</v>
      </c>
      <c r="C47" s="135">
        <v>1.01</v>
      </c>
      <c r="D47" s="135">
        <v>1.03</v>
      </c>
      <c r="E47" s="37">
        <v>1.04</v>
      </c>
      <c r="F47" s="36" t="s">
        <v>173</v>
      </c>
    </row>
    <row r="49" spans="1:6" x14ac:dyDescent="0.3">
      <c r="B49" s="35" t="s">
        <v>167</v>
      </c>
      <c r="C49" t="s">
        <v>1</v>
      </c>
      <c r="D49" t="s">
        <v>3</v>
      </c>
      <c r="E49" t="s">
        <v>179</v>
      </c>
      <c r="F49" t="s">
        <v>178</v>
      </c>
    </row>
    <row r="50" spans="1:6" x14ac:dyDescent="0.3">
      <c r="A50" t="s">
        <v>73</v>
      </c>
      <c r="B50" s="137" t="str">
        <f>'Composição Corporal1'!M34</f>
        <v/>
      </c>
      <c r="C50" t="str">
        <f>'Dados do Aluno'!E8</f>
        <v>Masculino</v>
      </c>
      <c r="D50" s="138">
        <f ca="1">'Dados do Aluno'!E12</f>
        <v>36</v>
      </c>
      <c r="E50" t="b">
        <f ca="1">IFERROR(IF(AND($C$50="Feminino",$D$50&lt;=29),VLOOKUP(B50,$A$37:F$40,6,TRUE),IF(AND($C$50="Feminino",$D$50&lt;=39),VLOOKUP(B50,$B$37:$F$40,5,TRUE),IF(AND($C$50="Feminino",$D$50&lt;=49),VLOOKUP(B50,$C$37:$F$40,4,TRUE),IF(AND($C$50="Feminino",$D$50&lt;=59),VLOOKUP(B50,$D$37:$F$40,3,TRUE),IF(AND($C$50="Feminino",$D$50&lt;=69),VLOOKUP(B50,$E$37:$F$41,2,TRUE)))))),"")</f>
        <v>0</v>
      </c>
      <c r="F50" t="str">
        <f ca="1">IFERROR(IF(AND($C$50="Masculino",$D$50&lt;=29),VLOOKUP(B50,$A$44:F$47,6,TRUE),IF(AND($C$50="Masculino",$D$50&lt;=39),VLOOKUP(B50,$B$44:$F$47,5,TRUE),IF(AND($C$50="Masculino",$D$50&lt;=49),VLOOKUP(B50,$C$44:$F$47,4,TRUE),IF(AND($C$50="Masculino",$D$50&lt;=59),VLOOKUP(B50,$D$44:$F$47,3,TRUE),IF(AND($C$50="Masculino",$D$50&lt;=69),VLOOKUP(B50,$E$44:$F$47,2,TRUE)))))),"")</f>
        <v/>
      </c>
    </row>
    <row r="51" spans="1:6" x14ac:dyDescent="0.3">
      <c r="A51" t="s">
        <v>74</v>
      </c>
      <c r="B51" s="139" t="str">
        <f>'Composição Corporal2'!M34</f>
        <v/>
      </c>
      <c r="E51" t="b">
        <f ca="1">IFERROR(IF(AND($C$50="Feminino",$D$50&lt;=29),VLOOKUP(B51,$A$37:F$40,6,TRUE),IF(AND($C$50="Feminino",$D$50&lt;=39),VLOOKUP(B51,$B$37:$F$40,5,TRUE),IF(AND($C$50="Feminino",$D$50&lt;=49),VLOOKUP(B51,$C$37:$F$40,4,TRUE),IF(AND($C$50="Feminino",$D$50&lt;=59),VLOOKUP(B51,$D$37:$F$40,3,TRUE),IF(AND($C$50="Feminino",$D$50&lt;=69),VLOOKUP(B51,$E$37:$F$41,2,TRUE)))))),"")</f>
        <v>0</v>
      </c>
      <c r="F51" t="str">
        <f ca="1">IFERROR(IF(AND($C$50="Masculino",$D$50&lt;=29),VLOOKUP(B51,$A$44:F$47,6,TRUE),IF(AND($C$50="Masculino",$D$50&lt;=39),VLOOKUP(B51,$B$44:$F$47,5,TRUE),IF(AND($C$50="Masculino",$D$50&lt;=49),VLOOKUP(B51,$C$44:$F$47,4,TRUE),IF(AND($C$50="Masculino",$D$50&lt;=59),VLOOKUP(B51,$D$44:$F$47,3,TRUE),IF(AND($C$50="Masculino",$D$50&lt;=69),VLOOKUP(B51,$E$44:$F$47,2,TRUE)))))),"")</f>
        <v/>
      </c>
    </row>
    <row r="52" spans="1:6" x14ac:dyDescent="0.3">
      <c r="A52" t="s">
        <v>75</v>
      </c>
      <c r="B52" s="139" t="str">
        <f>'Composição Corporal3'!M34</f>
        <v/>
      </c>
      <c r="E52" t="b">
        <f ca="1">IFERROR(IF(AND($C$50="Feminino",$D$50&lt;=29),VLOOKUP(B52,$A$37:F$40,6,TRUE),IF(AND($C$50="Feminino",$D$50&lt;=39),VLOOKUP(B52,$B$37:$F$40,5,TRUE),IF(AND($C$50="Feminino",$D$50&lt;=49),VLOOKUP(B52,$C$37:$F$40,4,TRUE),IF(AND($C$50="Feminino",$D$50&lt;=59),VLOOKUP(B52,$D$37:$F$40,3,TRUE),IF(AND($C$50="Feminino",$D$50&lt;=69),VLOOKUP(B52,$E$37:$F$41,2,TRUE)))))),"")</f>
        <v>0</v>
      </c>
      <c r="F52" t="str">
        <f ca="1">IFERROR(IF(AND($C$50="Masculino",$D$50&lt;=29),VLOOKUP(B52,$A$44:F$47,6,TRUE),IF(AND($C$50="Masculino",$D$50&lt;=39),VLOOKUP(B52,$B$44:$F$47,5,TRUE),IF(AND($C$50="Masculino",$D$50&lt;=49),VLOOKUP(B52,$C$44:$F$47,4,TRUE),IF(AND($C$50="Masculino",$D$50&lt;=59),VLOOKUP(B52,$D$44:$F$47,3,TRUE),IF(AND($C$50="Masculino",$D$50&lt;=69),VLOOKUP(B52,$E$44:$F$47,2,TRUE)))))),"")</f>
        <v/>
      </c>
    </row>
    <row r="53" spans="1:6" x14ac:dyDescent="0.3">
      <c r="A53" t="s">
        <v>76</v>
      </c>
      <c r="B53" s="139" t="str">
        <f>'Composição Corporal4'!M34</f>
        <v/>
      </c>
      <c r="E53" t="b">
        <f ca="1">IFERROR(IF(AND($C$50="Feminino",$D$50&lt;=29),VLOOKUP(B53,$A$37:F$40,6,TRUE),IF(AND($C$50="Feminino",$D$50&lt;=39),VLOOKUP(B53,$B$37:$F$40,5,TRUE),IF(AND($C$50="Feminino",$D$50&lt;=49),VLOOKUP(B53,$C$37:$F$40,4,TRUE),IF(AND($C$50="Feminino",$D$50&lt;=59),VLOOKUP(B53,$D$37:$F$40,3,TRUE),IF(AND($C$50="Feminino",$D$50&lt;=69),VLOOKUP(B53,$E$37:$F$41,2,TRUE)))))),"")</f>
        <v>0</v>
      </c>
      <c r="F53" t="str">
        <f ca="1">IFERROR(IF(AND($C$50="Masculino",$D$50&lt;=29),VLOOKUP(B53,$A$44:F$47,6,TRUE),IF(AND($C$50="Masculino",$D$50&lt;=39),VLOOKUP(B53,$B$44:$F$47,5,TRUE),IF(AND($C$50="Masculino",$D$50&lt;=49),VLOOKUP(B53,$C$44:$F$47,4,TRUE),IF(AND($C$50="Masculino",$D$50&lt;=59),VLOOKUP(B53,$D$44:$F$47,3,TRUE),IF(AND($C$50="Masculino",$D$50&lt;=69),VLOOKUP(B53,$E$44:$F$47,2,TRUE)))))),"")</f>
        <v/>
      </c>
    </row>
    <row r="54" spans="1:6" x14ac:dyDescent="0.3">
      <c r="A54" t="s">
        <v>77</v>
      </c>
      <c r="B54" s="139" t="str">
        <f>'Composição Corporal5'!M34</f>
        <v/>
      </c>
      <c r="E54" t="b">
        <f ca="1">IFERROR(IF(AND($C$50="Feminino",$D$50&lt;=29),VLOOKUP(B54,$A$37:F$40,6,TRUE),IF(AND($C$50="Feminino",$D$50&lt;=39),VLOOKUP(B54,$B$37:$F$40,5,TRUE),IF(AND($C$50="Feminino",$D$50&lt;=49),VLOOKUP(B54,$C$37:$F$40,4,TRUE),IF(AND($C$50="Feminino",$D$50&lt;=59),VLOOKUP(B54,$D$37:$F$40,3,TRUE),IF(AND($C$50="Feminino",$D$50&lt;=69),VLOOKUP(B54,$E$37:$F$41,2,TRUE)))))),"")</f>
        <v>0</v>
      </c>
      <c r="F54" t="str">
        <f ca="1">IFERROR(IF(AND($C$50="Masculino",$D$50&lt;=29),VLOOKUP(B54,$A$44:F$47,6,TRUE),IF(AND($C$50="Masculino",$D$50&lt;=39),VLOOKUP(B54,$B$44:$F$47,5,TRUE),IF(AND($C$50="Masculino",$D$50&lt;=49),VLOOKUP(B54,$C$44:$F$47,4,TRUE),IF(AND($C$50="Masculino",$D$50&lt;=59),VLOOKUP(B54,$D$44:$F$47,3,TRUE),IF(AND($C$50="Masculino",$D$50&lt;=69),VLOOKUP(B54,$E$44:$F$47,2,TRUE)))))),"")</f>
        <v/>
      </c>
    </row>
    <row r="55" spans="1:6" x14ac:dyDescent="0.3">
      <c r="A55" t="s">
        <v>78</v>
      </c>
      <c r="B55" s="139" t="str">
        <f>'Composição Corporal6'!M34</f>
        <v/>
      </c>
      <c r="E55" t="b">
        <f ca="1">IFERROR(IF(AND($C$50="Feminino",$D$50&lt;=29),VLOOKUP(B55,$A$37:F$40,6,TRUE),IF(AND($C$50="Feminino",$D$50&lt;=39),VLOOKUP(B55,$B$37:$F$40,5,TRUE),IF(AND($C$50="Feminino",$D$50&lt;=49),VLOOKUP(B55,$C$37:$F$40,4,TRUE),IF(AND($C$50="Feminino",$D$50&lt;=59),VLOOKUP(B55,$D$37:$F$40,3,TRUE),IF(AND($C$50="Feminino",$D$50&lt;=69),VLOOKUP(B55,$E$37:$F$41,2,TRUE)))))),"")</f>
        <v>0</v>
      </c>
      <c r="F55" t="str">
        <f ca="1">IFERROR(IF(AND($C$50="Masculino",$D$50&lt;=29),VLOOKUP(B55,$A$44:F$47,6,TRUE),IF(AND($C$50="Masculino",$D$50&lt;=39),VLOOKUP(B55,$B$44:$F$47,5,TRUE),IF(AND($C$50="Masculino",$D$50&lt;=49),VLOOKUP(B55,$C$44:$F$47,4,TRUE),IF(AND($C$50="Masculino",$D$50&lt;=59),VLOOKUP(B55,$D$44:$F$47,3,TRUE),IF(AND($C$50="Masculino",$D$50&lt;=69),VLOOKUP(B55,$E$44:$F$47,2,TRUE)))))),"")</f>
        <v/>
      </c>
    </row>
    <row r="56" spans="1:6" x14ac:dyDescent="0.3">
      <c r="B56" s="35"/>
    </row>
  </sheetData>
  <mergeCells count="34">
    <mergeCell ref="AV1:AW1"/>
    <mergeCell ref="AY1:AZ1"/>
    <mergeCell ref="BB1:BC1"/>
    <mergeCell ref="AV6:AW6"/>
    <mergeCell ref="AY6:AZ6"/>
    <mergeCell ref="AM1:AN1"/>
    <mergeCell ref="AP1:AQ1"/>
    <mergeCell ref="AS1:AT1"/>
    <mergeCell ref="AM6:AN6"/>
    <mergeCell ref="AP6:AQ6"/>
    <mergeCell ref="AD1:AE1"/>
    <mergeCell ref="AG1:AH1"/>
    <mergeCell ref="AJ1:AK1"/>
    <mergeCell ref="AD6:AE6"/>
    <mergeCell ref="AG6:AH6"/>
    <mergeCell ref="U1:V1"/>
    <mergeCell ref="X1:Y1"/>
    <mergeCell ref="AA1:AB1"/>
    <mergeCell ref="U6:V6"/>
    <mergeCell ref="X6:Y6"/>
    <mergeCell ref="L1:M1"/>
    <mergeCell ref="O1:P1"/>
    <mergeCell ref="R1:S1"/>
    <mergeCell ref="L6:M6"/>
    <mergeCell ref="O6:P6"/>
    <mergeCell ref="A35:F35"/>
    <mergeCell ref="A42:F42"/>
    <mergeCell ref="H1:I1"/>
    <mergeCell ref="A25:G25"/>
    <mergeCell ref="A16:G16"/>
    <mergeCell ref="B1:C1"/>
    <mergeCell ref="B6:C6"/>
    <mergeCell ref="E1:F1"/>
    <mergeCell ref="E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9"/>
  <sheetViews>
    <sheetView workbookViewId="0">
      <selection activeCell="M28" sqref="M28"/>
    </sheetView>
  </sheetViews>
  <sheetFormatPr defaultRowHeight="14.4" x14ac:dyDescent="0.3"/>
  <cols>
    <col min="1" max="1" width="15.33203125" customWidth="1"/>
    <col min="2" max="2" width="13.33203125" bestFit="1" customWidth="1"/>
    <col min="7" max="7" width="16.109375" customWidth="1"/>
    <col min="9" max="9" width="32.44140625" bestFit="1" customWidth="1"/>
    <col min="10" max="10" width="15.88671875" bestFit="1" customWidth="1"/>
    <col min="11" max="11" width="3.33203125" customWidth="1"/>
    <col min="12" max="12" width="32.44140625" bestFit="1" customWidth="1"/>
    <col min="13" max="13" width="15.88671875" bestFit="1" customWidth="1"/>
    <col min="14" max="14" width="3" customWidth="1"/>
    <col min="15" max="15" width="32.44140625" bestFit="1" customWidth="1"/>
    <col min="16" max="16" width="15.88671875" bestFit="1" customWidth="1"/>
    <col min="17" max="17" width="1.6640625" customWidth="1"/>
    <col min="18" max="18" width="32.44140625" bestFit="1" customWidth="1"/>
    <col min="19" max="19" width="15.88671875" bestFit="1" customWidth="1"/>
    <col min="20" max="20" width="2.109375" customWidth="1"/>
    <col min="21" max="21" width="32.44140625" customWidth="1"/>
    <col min="22" max="22" width="15.88671875" bestFit="1" customWidth="1"/>
    <col min="23" max="23" width="3.33203125" customWidth="1"/>
    <col min="24" max="24" width="32.44140625" bestFit="1" customWidth="1"/>
  </cols>
  <sheetData>
    <row r="1" spans="1:25" x14ac:dyDescent="0.3">
      <c r="A1" s="236" t="s">
        <v>108</v>
      </c>
      <c r="B1" s="236"/>
      <c r="C1" s="236"/>
      <c r="D1" s="236"/>
      <c r="E1" s="236"/>
      <c r="F1" s="236"/>
      <c r="G1" s="236"/>
      <c r="I1" s="233" t="s">
        <v>73</v>
      </c>
      <c r="J1" s="233"/>
      <c r="L1" s="233" t="s">
        <v>74</v>
      </c>
      <c r="M1" s="233"/>
      <c r="O1" s="233" t="s">
        <v>75</v>
      </c>
      <c r="P1" s="233"/>
      <c r="R1" s="233" t="s">
        <v>76</v>
      </c>
      <c r="S1" s="233"/>
      <c r="U1" s="233" t="s">
        <v>77</v>
      </c>
      <c r="V1" s="233"/>
      <c r="X1" s="233" t="s">
        <v>78</v>
      </c>
      <c r="Y1" s="233"/>
    </row>
    <row r="2" spans="1:25" x14ac:dyDescent="0.3">
      <c r="A2" s="235" t="s">
        <v>93</v>
      </c>
      <c r="B2" s="235"/>
      <c r="C2" s="235"/>
      <c r="D2" s="235"/>
      <c r="E2" s="235"/>
      <c r="F2" s="235"/>
      <c r="G2" s="235"/>
    </row>
    <row r="3" spans="1:25" x14ac:dyDescent="0.3">
      <c r="A3" s="38">
        <v>13</v>
      </c>
      <c r="B3" s="38">
        <v>20</v>
      </c>
      <c r="C3" s="38">
        <v>30</v>
      </c>
      <c r="D3" s="38">
        <v>40</v>
      </c>
      <c r="E3" s="38">
        <v>50</v>
      </c>
      <c r="F3" s="38">
        <v>61</v>
      </c>
      <c r="G3" s="38" t="s">
        <v>94</v>
      </c>
      <c r="I3" s="40" t="s">
        <v>1</v>
      </c>
      <c r="J3" s="50" t="str">
        <f>'Dados do Aluno'!$E$8</f>
        <v>Masculino</v>
      </c>
      <c r="L3" s="40" t="s">
        <v>1</v>
      </c>
      <c r="M3" s="50" t="str">
        <f>'Dados do Aluno'!$E$8</f>
        <v>Masculino</v>
      </c>
      <c r="O3" s="40" t="s">
        <v>1</v>
      </c>
      <c r="P3" s="50" t="str">
        <f>'Dados do Aluno'!$E$8</f>
        <v>Masculino</v>
      </c>
      <c r="R3" s="40" t="s">
        <v>1</v>
      </c>
      <c r="S3" s="50" t="str">
        <f>'Dados do Aluno'!$E$8</f>
        <v>Masculino</v>
      </c>
      <c r="U3" s="40" t="s">
        <v>1</v>
      </c>
      <c r="V3" s="50" t="str">
        <f>'Dados do Aluno'!$E$8</f>
        <v>Masculino</v>
      </c>
      <c r="X3" s="40" t="s">
        <v>1</v>
      </c>
      <c r="Y3" s="50" t="str">
        <f>'Dados do Aluno'!$E$8</f>
        <v>Masculino</v>
      </c>
    </row>
    <row r="4" spans="1:25" x14ac:dyDescent="0.3">
      <c r="A4" s="37">
        <v>2079</v>
      </c>
      <c r="B4" s="37">
        <v>1951</v>
      </c>
      <c r="C4" s="37">
        <v>1887</v>
      </c>
      <c r="D4" s="37">
        <v>1823</v>
      </c>
      <c r="E4" s="37">
        <v>1647</v>
      </c>
      <c r="F4" s="37">
        <v>1391</v>
      </c>
      <c r="G4" s="37" t="s">
        <v>95</v>
      </c>
      <c r="I4" s="40" t="s">
        <v>3</v>
      </c>
      <c r="J4" s="50">
        <f ca="1">'Dados do Aluno'!$E$12</f>
        <v>36</v>
      </c>
      <c r="L4" s="40" t="s">
        <v>3</v>
      </c>
      <c r="M4" s="50">
        <f ca="1">'Dados do Aluno'!$E$12</f>
        <v>36</v>
      </c>
      <c r="O4" s="40" t="s">
        <v>3</v>
      </c>
      <c r="P4" s="50">
        <f ca="1">'Dados do Aluno'!$E$12</f>
        <v>36</v>
      </c>
      <c r="R4" s="40" t="s">
        <v>3</v>
      </c>
      <c r="S4" s="50">
        <f ca="1">'Dados do Aluno'!$E$12</f>
        <v>36</v>
      </c>
      <c r="U4" s="40" t="s">
        <v>3</v>
      </c>
      <c r="V4" s="50">
        <f ca="1">'Dados do Aluno'!$E$12</f>
        <v>36</v>
      </c>
      <c r="X4" s="40" t="s">
        <v>3</v>
      </c>
      <c r="Y4" s="50">
        <f ca="1">'Dados do Aluno'!$E$12</f>
        <v>36</v>
      </c>
    </row>
    <row r="5" spans="1:25" x14ac:dyDescent="0.3">
      <c r="A5" s="37">
        <v>2080</v>
      </c>
      <c r="B5" s="37">
        <v>1952</v>
      </c>
      <c r="C5" s="37">
        <v>1888</v>
      </c>
      <c r="D5" s="37">
        <v>1824</v>
      </c>
      <c r="E5" s="37">
        <v>1648</v>
      </c>
      <c r="F5" s="37">
        <v>1392</v>
      </c>
      <c r="G5" s="37" t="s">
        <v>96</v>
      </c>
      <c r="I5" s="49" t="s">
        <v>102</v>
      </c>
      <c r="J5" s="41">
        <f>'Força e Resistência e Aerobico'!$F$26</f>
        <v>0</v>
      </c>
      <c r="L5" s="49" t="s">
        <v>102</v>
      </c>
      <c r="M5" s="41">
        <f>'Força e Resistência e Aerobico2'!F26</f>
        <v>0</v>
      </c>
      <c r="O5" s="49" t="s">
        <v>102</v>
      </c>
      <c r="P5" s="41">
        <f>'Força e Resistência e Aerobico3'!$F$26</f>
        <v>0</v>
      </c>
      <c r="R5" s="49" t="s">
        <v>102</v>
      </c>
      <c r="S5" s="41">
        <f>'Força e Resistência e Aerobico4'!$F$26</f>
        <v>0</v>
      </c>
      <c r="U5" s="49" t="s">
        <v>102</v>
      </c>
      <c r="V5" s="41">
        <f>'Força e Resistência e Aerobico5'!$F$26</f>
        <v>0</v>
      </c>
      <c r="X5" s="49" t="s">
        <v>102</v>
      </c>
      <c r="Y5" s="41">
        <f>'Força e Resistência e Aerobico6'!$F$26</f>
        <v>0</v>
      </c>
    </row>
    <row r="6" spans="1:25" x14ac:dyDescent="0.3">
      <c r="A6" s="37">
        <v>2193</v>
      </c>
      <c r="B6" s="37">
        <v>2097</v>
      </c>
      <c r="C6" s="37">
        <v>2081</v>
      </c>
      <c r="D6" s="37">
        <v>1985</v>
      </c>
      <c r="E6" s="37">
        <v>1857</v>
      </c>
      <c r="F6" s="37">
        <v>1633</v>
      </c>
      <c r="G6" s="37" t="s">
        <v>97</v>
      </c>
      <c r="I6" s="49" t="s">
        <v>103</v>
      </c>
      <c r="J6" s="39">
        <f ca="1">IF($J$3="Masculino",HLOOKUP(J4,$A$3:$G$9,1,1),"")</f>
        <v>30</v>
      </c>
      <c r="L6" s="49" t="s">
        <v>103</v>
      </c>
      <c r="M6" s="39">
        <f ca="1">IF($M$3="Masculino",HLOOKUP(M4,$A$3:$G$9,1,1),"")</f>
        <v>30</v>
      </c>
      <c r="O6" s="49" t="s">
        <v>103</v>
      </c>
      <c r="P6" s="39">
        <f ca="1">IF($J$3="Masculino",HLOOKUP(P4,$A$3:$G$9,1,1),"")</f>
        <v>30</v>
      </c>
      <c r="R6" s="49" t="s">
        <v>103</v>
      </c>
      <c r="S6" s="39">
        <f ca="1">IF($S$3="Masculino",HLOOKUP(S4,$A$3:$G$9,1,1),"")</f>
        <v>30</v>
      </c>
      <c r="U6" s="49" t="s">
        <v>103</v>
      </c>
      <c r="V6" s="39">
        <f ca="1">IF($V$3="Masculino",HLOOKUP(V4,$A$3:$G$9,1,1),"")</f>
        <v>30</v>
      </c>
      <c r="X6" s="49" t="s">
        <v>103</v>
      </c>
      <c r="Y6" s="39">
        <f ca="1">IF($Y$3="Masculino",HLOOKUP(Y4,$A$3:$G$9,1,1),"")</f>
        <v>30</v>
      </c>
    </row>
    <row r="7" spans="1:25" x14ac:dyDescent="0.3">
      <c r="A7" s="37">
        <v>2497</v>
      </c>
      <c r="B7" s="37">
        <v>2385</v>
      </c>
      <c r="C7" s="37">
        <v>2321</v>
      </c>
      <c r="D7" s="37">
        <v>2225</v>
      </c>
      <c r="E7" s="37">
        <v>2081</v>
      </c>
      <c r="F7" s="37">
        <v>19212</v>
      </c>
      <c r="G7" s="37" t="s">
        <v>98</v>
      </c>
      <c r="I7" s="49" t="s">
        <v>104</v>
      </c>
      <c r="J7" s="37">
        <f ca="1">IFERROR(MATCH(J6,$A$3:$F$3,1),"")</f>
        <v>3</v>
      </c>
      <c r="L7" s="49" t="s">
        <v>104</v>
      </c>
      <c r="M7" s="37">
        <f ca="1">IFERROR(MATCH(M6,$A$3:$F$3,1),"")</f>
        <v>3</v>
      </c>
      <c r="O7" s="49" t="s">
        <v>104</v>
      </c>
      <c r="P7" s="37">
        <f ca="1">IFERROR(MATCH(P6,$A$3:$F$3,1),"")</f>
        <v>3</v>
      </c>
      <c r="R7" s="49" t="s">
        <v>104</v>
      </c>
      <c r="S7" s="37">
        <f ca="1">IFERROR(MATCH(S6,$A$3:$F$3,1),"")</f>
        <v>3</v>
      </c>
      <c r="U7" s="49" t="s">
        <v>104</v>
      </c>
      <c r="V7" s="37">
        <f ca="1">IFERROR(MATCH(V6,$A$3:$F$3,1),"")</f>
        <v>3</v>
      </c>
      <c r="X7" s="49" t="s">
        <v>104</v>
      </c>
      <c r="Y7" s="37">
        <f ca="1">IFERROR(MATCH(Y6,$A$3:$F$3,1),"")</f>
        <v>3</v>
      </c>
    </row>
    <row r="8" spans="1:25" x14ac:dyDescent="0.3">
      <c r="A8" s="37">
        <v>2753</v>
      </c>
      <c r="B8" s="37">
        <v>2625</v>
      </c>
      <c r="C8" s="37">
        <v>2497</v>
      </c>
      <c r="D8" s="37">
        <v>2449</v>
      </c>
      <c r="E8" s="37">
        <v>2305</v>
      </c>
      <c r="F8" s="37">
        <v>2113</v>
      </c>
      <c r="G8" s="37" t="s">
        <v>99</v>
      </c>
      <c r="I8" s="49" t="s">
        <v>105</v>
      </c>
      <c r="J8" s="37">
        <f ca="1">IF(AND(J6=13,J5&lt;2079),1,IF(J6=13,MATCH(J5,$A$4:$A$9,1),IF(AND(J6=20,J5&lt;1951),1,IF(J6=20,MATCH(J5,$B$4:$B$9,1),IF(AND(J6=30,J5&lt;1887),1,IF(J6=30,MATCH(J5,$C$4:$C$9,1),IF(AND(J6=40,J5&lt;1823),1,IF(J6=40,MATCH(J5,$D$4:$D$9,1),IF(AND(J6=50,J5&lt;1647),1,IF(J6=50,MATCH(J5,$E$4:$E$9,1),IF(AND(J6=61,J5&lt;1391),1,IF(J6=61,MATCH(J5,$F$4:$F$9,1)))))))))))))</f>
        <v>1</v>
      </c>
      <c r="L8" s="49" t="s">
        <v>105</v>
      </c>
      <c r="M8" s="37">
        <f ca="1">IF(AND(M6=13,M5&lt;2079),1,IF(M6=13,MATCH(M5,$A$4:$A$9,1),IF(AND(M6=20,M5&lt;1951),1,IF(M6=20,MATCH(M5,$B$4:$B$9,1),IF(AND(M6=30,M5&lt;1887),1,IF(M6=30,MATCH(M5,$C$4:$C$9,1),IF(AND(M6=40,M5&lt;1823),1,IF(M6=40,MATCH(M5,$D$4:$D$9,1),IF(AND(M6=50,M5&lt;1647),1,IF(M6=50,MATCH(M5,$E$4:$E$9,1),IF(AND(M6=61,M5&lt;1391),1,IF(M6=61,MATCH(M5,$F$4:$F$9,1)))))))))))))</f>
        <v>1</v>
      </c>
      <c r="O8" s="49" t="s">
        <v>105</v>
      </c>
      <c r="P8" s="37">
        <f ca="1">IF(AND(P6=13,P5&lt;2079),1,IF(P6=13,MATCH(P5,$A$4:$A$9,1),IF(AND(P6=20,P5&lt;1951),1,IF(P6=20,MATCH(P5,$B$4:$B$9,1),IF(AND(P6=30,P5&lt;1887),1,IF(P6=30,MATCH(P5,$C$4:$C$9,1),IF(AND(P6=40,P5&lt;1823),1,IF(P6=40,MATCH(P5,$D$4:$D$9,1),IF(AND(P6=50,P5&lt;1647),1,IF(P6=50,MATCH(P5,$E$4:$E$9,1),IF(AND(P6=61,P5&lt;1391),1,IF(P6=61,MATCH(P5,$F$4:$F$9,1)))))))))))))</f>
        <v>1</v>
      </c>
      <c r="R8" s="49" t="s">
        <v>105</v>
      </c>
      <c r="S8" s="37">
        <f ca="1">IF(AND(S6=13,S5&lt;2079),1,IF(S6=13,MATCH(S5,$A$4:$A$9,1),IF(AND(S6=20,S5&lt;1951),1,IF(S6=20,MATCH(S5,$B$4:$B$9,1),IF(AND(S6=30,S5&lt;1887),1,IF(S6=30,MATCH(S5,$C$4:$C$9,1),IF(AND(S6=40,S5&lt;1823),1,IF(S6=40,MATCH(S5,$D$4:$D$9,1),IF(AND(S6=50,S5&lt;1647),1,IF(S6=50,MATCH(S5,$E$4:$E$9,1),IF(AND(S6=61,S5&lt;1391),1,IF(S6=61,MATCH(S5,$F$4:$F$9,1)))))))))))))</f>
        <v>1</v>
      </c>
      <c r="U8" s="49" t="s">
        <v>105</v>
      </c>
      <c r="V8" s="37">
        <f ca="1">IF(AND(V6=13,V5&lt;2079),1,IF(V6=13,MATCH(V5,$A$4:$A$9,1),IF(AND(V6=20,V5&lt;1951),1,IF(V6=20,MATCH(V5,$B$4:$B$9,1),IF(AND(V6=30,V5&lt;1887),1,IF(V6=30,MATCH(V5,$C$4:$C$9,1),IF(AND(V6=40,V5&lt;1823),1,IF(V6=40,MATCH(V5,$D$4:$D$9,1),IF(AND(V6=50,V5&lt;1647),1,IF(V6=50,MATCH(V5,$E$4:$E$9,1),IF(AND(V6=61,V5&lt;1391),1,IF(V6=61,MATCH(V5,$F$4:$F$9,1)))))))))))))</f>
        <v>1</v>
      </c>
      <c r="X8" s="49" t="s">
        <v>105</v>
      </c>
      <c r="Y8" s="37">
        <f ca="1">IF(AND(Y6=13,Y5&lt;2079),1,IF(Y6=13,MATCH(Y5,$A$4:$A$9,1),IF(AND(Y6=20,Y5&lt;1951),1,IF(Y6=20,MATCH(Y5,$B$4:$B$9,1),IF(AND(Y6=30,Y5&lt;1887),1,IF(Y6=30,MATCH(Y5,$C$4:$C$9,1),IF(AND(Y6=40,Y5&lt;1823),1,IF(Y6=40,MATCH(Y5,$D$4:$D$9,1),IF(AND(Y6=50,Y5&lt;1647),1,IF(Y6=50,MATCH(Y5,$E$4:$E$9,1),IF(AND(Y6=61,Y5&lt;1391),1,IF(Y6=61,MATCH(Y5,$F$4:$F$9,1)))))))))))))</f>
        <v>1</v>
      </c>
    </row>
    <row r="9" spans="1:25" x14ac:dyDescent="0.3">
      <c r="A9" s="37">
        <v>2992</v>
      </c>
      <c r="B9" s="37">
        <v>2832</v>
      </c>
      <c r="C9" s="37">
        <v>2720</v>
      </c>
      <c r="D9" s="37">
        <v>2656</v>
      </c>
      <c r="E9" s="37">
        <v>2544</v>
      </c>
      <c r="F9" s="37">
        <v>2496</v>
      </c>
      <c r="G9" s="37" t="s">
        <v>100</v>
      </c>
      <c r="I9" s="49" t="s">
        <v>54</v>
      </c>
      <c r="J9" s="37">
        <f ca="1">IFERROR(INDEX($A$4:$G$9,J8,J7),"")</f>
        <v>1887</v>
      </c>
      <c r="L9" s="49" t="s">
        <v>54</v>
      </c>
      <c r="M9" s="37">
        <f ca="1">IFERROR(INDEX($A$4:$G$9,M8,M7),"")</f>
        <v>1887</v>
      </c>
      <c r="O9" s="49" t="s">
        <v>54</v>
      </c>
      <c r="P9" s="37">
        <f ca="1">IFERROR(INDEX($A$4:$G$9,P8,P7),"")</f>
        <v>1887</v>
      </c>
      <c r="R9" s="49" t="s">
        <v>54</v>
      </c>
      <c r="S9" s="37">
        <f ca="1">IFERROR(INDEX($A$4:$G$9,S8,S7),"")</f>
        <v>1887</v>
      </c>
      <c r="U9" s="49" t="s">
        <v>54</v>
      </c>
      <c r="V9" s="37">
        <f ca="1">IFERROR(INDEX($A$4:$G$9,V8,V7),"")</f>
        <v>1887</v>
      </c>
      <c r="X9" s="49" t="s">
        <v>54</v>
      </c>
      <c r="Y9" s="37">
        <f ca="1">IFERROR(INDEX($A$4:$G$9,Y8,Y7),"")</f>
        <v>1887</v>
      </c>
    </row>
    <row r="10" spans="1:25" x14ac:dyDescent="0.3">
      <c r="I10" s="40" t="s">
        <v>106</v>
      </c>
      <c r="J10" s="38" t="str">
        <f ca="1">IF(J6=13,VLOOKUP(J9,Homem13,7,0),IF(J6=20,VLOOKUP(J9,Homem20,6,0),IF(J6=30,VLOOKUP(J9,Homem30,5,0),IF(J6=40,VLOOKUP(J9,Homem40,4,0),IF(J6=50,VLOOKUP(J9,Homem50,3,0),IF(J6=61,VLOOKUP(J9,Homem61,2,0)))))))</f>
        <v>Muito Fraco</v>
      </c>
      <c r="L10" s="40" t="s">
        <v>106</v>
      </c>
      <c r="M10" s="38" t="str">
        <f ca="1">IF(M6=13,VLOOKUP(M9,Homem13,7,0),IF(M6=20,VLOOKUP(M9,Homem20,6,0),IF(M6=30,VLOOKUP(M9,Homem30,5,0),IF(M6=40,VLOOKUP(M9,Homem40,4,0),IF(M6=50,VLOOKUP(M9,Homem50,3,0),IF(M6=61,VLOOKUP(M9,Homem61,2,0)))))))</f>
        <v>Muito Fraco</v>
      </c>
      <c r="O10" s="40" t="s">
        <v>106</v>
      </c>
      <c r="P10" s="38" t="str">
        <f ca="1">IF(P6=13,VLOOKUP(P9,Homem13,7,0),IF(P6=20,VLOOKUP(P9,Homem20,6,0),IF(P6=30,VLOOKUP(P9,Homem30,5,0),IF(P6=40,VLOOKUP(P9,Homem40,4,0),IF(P6=50,VLOOKUP(P9,Homem50,3,0),IF(P6=61,VLOOKUP(P9,Homem61,2,0)))))))</f>
        <v>Muito Fraco</v>
      </c>
      <c r="R10" s="40" t="s">
        <v>106</v>
      </c>
      <c r="S10" s="38" t="str">
        <f ca="1">IF(S6=13,VLOOKUP(S9,Homem13,7,0),IF(S6=20,VLOOKUP(S9,Homem20,6,0),IF(S6=30,VLOOKUP(S9,Homem30,5,0),IF(S6=40,VLOOKUP(S9,Homem40,4,0),IF(S6=50,VLOOKUP(S9,Homem50,3,0),IF(S6=61,VLOOKUP(S9,Homem61,2,0)))))))</f>
        <v>Muito Fraco</v>
      </c>
      <c r="U10" s="40" t="s">
        <v>106</v>
      </c>
      <c r="V10" s="38" t="str">
        <f ca="1">IF(V6=13,VLOOKUP(V9,Homem13,7,0),IF(V6=20,VLOOKUP(V9,Homem20,6,0),IF(V6=30,VLOOKUP(V9,Homem30,5,0),IF(V6=40,VLOOKUP(V9,Homem40,4,0),IF(V6=50,VLOOKUP(V9,Homem50,3,0),IF(V6=61,VLOOKUP(V9,Homem61,2,0)))))))</f>
        <v>Muito Fraco</v>
      </c>
      <c r="X10" s="40" t="s">
        <v>106</v>
      </c>
      <c r="Y10" s="38" t="str">
        <f ca="1">IF(Y6=13,VLOOKUP(Y9,Homem13,7,0),IF(Y6=20,VLOOKUP(Y9,Homem20,6,0),IF(Y6=30,VLOOKUP(Y9,Homem30,5,0),IF(Y6=40,VLOOKUP(Y9,Homem40,4,0),IF(Y6=50,VLOOKUP(Y9,Homem50,3,0),IF(Y6=61,VLOOKUP(Y9,Homem61,2,0)))))))</f>
        <v>Muito Fraco</v>
      </c>
    </row>
    <row r="11" spans="1:25" x14ac:dyDescent="0.3">
      <c r="A11" s="235" t="s">
        <v>101</v>
      </c>
      <c r="B11" s="235"/>
      <c r="C11" s="235"/>
      <c r="D11" s="235"/>
      <c r="E11" s="235"/>
      <c r="F11" s="235"/>
      <c r="G11" s="235"/>
    </row>
    <row r="12" spans="1:25" x14ac:dyDescent="0.3">
      <c r="A12" s="38">
        <v>13</v>
      </c>
      <c r="B12" s="38">
        <v>20</v>
      </c>
      <c r="C12" s="38">
        <v>30</v>
      </c>
      <c r="D12" s="38">
        <v>40</v>
      </c>
      <c r="E12" s="38">
        <v>50</v>
      </c>
      <c r="F12" s="38">
        <v>61</v>
      </c>
      <c r="G12" s="38" t="s">
        <v>54</v>
      </c>
    </row>
    <row r="13" spans="1:25" x14ac:dyDescent="0.3">
      <c r="A13" s="37">
        <v>1599</v>
      </c>
      <c r="B13" s="37">
        <v>1535</v>
      </c>
      <c r="C13" s="37">
        <v>1503</v>
      </c>
      <c r="D13" s="37">
        <v>1407</v>
      </c>
      <c r="E13" s="37">
        <v>1343</v>
      </c>
      <c r="F13" s="37">
        <v>1247</v>
      </c>
      <c r="G13" s="37" t="s">
        <v>95</v>
      </c>
    </row>
    <row r="14" spans="1:25" x14ac:dyDescent="0.3">
      <c r="A14" s="37">
        <v>1600</v>
      </c>
      <c r="B14" s="37">
        <v>1536</v>
      </c>
      <c r="C14" s="37">
        <v>1504</v>
      </c>
      <c r="D14" s="37">
        <v>1408</v>
      </c>
      <c r="E14" s="37">
        <v>1344</v>
      </c>
      <c r="F14" s="37">
        <v>1248</v>
      </c>
      <c r="G14" s="37" t="s">
        <v>96</v>
      </c>
      <c r="I14" s="49" t="s">
        <v>103</v>
      </c>
      <c r="J14" s="39" t="str">
        <f>IF($J$3="Feminino",HLOOKUP(J4,$A$12:$G$18,1,1),"")</f>
        <v/>
      </c>
      <c r="L14" s="49" t="s">
        <v>103</v>
      </c>
      <c r="M14" s="39" t="str">
        <f>IF($J$3="Feminino",HLOOKUP(M4,$A$12:$G$18,1,1),"")</f>
        <v/>
      </c>
      <c r="O14" s="49" t="s">
        <v>103</v>
      </c>
      <c r="P14" s="39" t="str">
        <f>IF($P$3="Feminino",HLOOKUP(P4,$A$12:$G$18,1,1),"")</f>
        <v/>
      </c>
      <c r="R14" s="49" t="s">
        <v>103</v>
      </c>
      <c r="S14" s="39" t="str">
        <f>IF($S$3="Feminino",HLOOKUP(S4,$A$12:$G$18,1,1),"")</f>
        <v/>
      </c>
      <c r="U14" s="49" t="s">
        <v>103</v>
      </c>
      <c r="V14" s="39" t="str">
        <f>IF($V$3="Feminino",HLOOKUP(V4,$A$12:$G$18,1,1),"")</f>
        <v/>
      </c>
      <c r="X14" s="49" t="s">
        <v>103</v>
      </c>
      <c r="Y14" s="39" t="str">
        <f>IF($Y$3="Feminino",HLOOKUP(Y4,$A$12:$G$18,1,1),"")</f>
        <v/>
      </c>
    </row>
    <row r="15" spans="1:25" x14ac:dyDescent="0.3">
      <c r="A15" s="37">
        <v>1889</v>
      </c>
      <c r="B15" s="37">
        <v>1777</v>
      </c>
      <c r="C15" s="37">
        <v>1681</v>
      </c>
      <c r="D15" s="37">
        <v>1569</v>
      </c>
      <c r="E15" s="37">
        <v>1489</v>
      </c>
      <c r="F15" s="37">
        <v>1377</v>
      </c>
      <c r="G15" s="37" t="s">
        <v>97</v>
      </c>
      <c r="I15" s="49" t="s">
        <v>104</v>
      </c>
      <c r="J15" s="37" t="str">
        <f>IFERROR(MATCH(J14,$A$12:$F$12,1),"")</f>
        <v/>
      </c>
      <c r="L15" s="49" t="s">
        <v>104</v>
      </c>
      <c r="M15" s="37" t="str">
        <f>IFERROR(MATCH(M14,$A$12:$F$12,1),"")</f>
        <v/>
      </c>
      <c r="O15" s="49" t="s">
        <v>104</v>
      </c>
      <c r="P15" s="37" t="str">
        <f>IFERROR(MATCH(P14,$A$12:$F$12,1),"")</f>
        <v/>
      </c>
      <c r="R15" s="49" t="s">
        <v>104</v>
      </c>
      <c r="S15" s="37" t="str">
        <f>IFERROR(MATCH(S14,$A$12:$F$12,1),"")</f>
        <v/>
      </c>
      <c r="U15" s="49" t="s">
        <v>104</v>
      </c>
      <c r="V15" s="37" t="str">
        <f>IFERROR(MATCH(V14,$A$12:$F$12,1),"")</f>
        <v/>
      </c>
      <c r="X15" s="49" t="s">
        <v>104</v>
      </c>
      <c r="Y15" s="37" t="str">
        <f>IFERROR(MATCH(Y14,$A$12:$F$12,1),"")</f>
        <v/>
      </c>
    </row>
    <row r="16" spans="1:25" x14ac:dyDescent="0.3">
      <c r="A16" s="37">
        <v>2065</v>
      </c>
      <c r="B16" s="37">
        <v>1953</v>
      </c>
      <c r="C16" s="37">
        <v>1889</v>
      </c>
      <c r="D16" s="37">
        <v>1777</v>
      </c>
      <c r="E16" s="37">
        <v>1681</v>
      </c>
      <c r="F16" s="37">
        <v>1569</v>
      </c>
      <c r="G16" s="37" t="s">
        <v>98</v>
      </c>
      <c r="I16" s="49" t="s">
        <v>105</v>
      </c>
      <c r="J16" s="37" t="b">
        <f>IF(AND(J14=13,J5&lt;1599),1,IF(J14=13,MATCH(J5,$A$13:$A$18,1),IF(AND(J14=20,J5&lt;1535),1,IF(J14=20,MATCH(J5,$B$13:$B$18,1),IF(AND(J14=30,J5&lt;1503),1,IF(J14=30,MATCH(J5,$C$13:C18,1),IF(AND(J14=40,J5&lt;1407),1,IF(J14=40,MATCH(J5,$D$13:$D$18,1),IF(AND(J14=50,J5&lt;1343),1,IF(J14=50,MATCH(J5,$E$13:$E$18,1),IF(AND(J14=61,J5&lt;1247),1,IF(J14=61,MATCH(J5,$F$13:$F$18,1)))))))))))))</f>
        <v>0</v>
      </c>
      <c r="L16" s="49" t="s">
        <v>105</v>
      </c>
      <c r="M16" s="37" t="b">
        <f>IF(AND(M14=13,M5&lt;1599),1,IF(M14=13,MATCH(M5,$A$13:$A$18,1),IF(AND(M14=20,M5&lt;1535),1,IF(M14=20,MATCH(M5,$B$13:$B$18,1),IF(AND(M14=30,M5&lt;1503),1,IF(M14=30,MATCH(M5,$C$13:$C$18,1),IF(AND(M14=40,M5&lt;1407),1,IF(M14=40,MATCH(M5,$D$13:$D$18,1),IF(AND(M14=50,M5&lt;1343),1,IF(M14=50,MATCH(M5,$E$13:$E$18,1),IF(AND(M14=61,M5&lt;1247),1,IF(M14=61,MATCH(M5,$F$13:$F$18,1)))))))))))))</f>
        <v>0</v>
      </c>
      <c r="O16" s="49" t="s">
        <v>105</v>
      </c>
      <c r="P16" s="37" t="b">
        <f>IF(AND(P14=13,P5&lt;1599),1,IF(P14=13,MATCH(P5,$A$13:$A$18,1),IF(AND(P14=20,P5&lt;1535),1,IF(P14=20,MATCH(P5,$B$13:$B$18,1),IF(AND(P14=30,P5&lt;1503),1,IF(P14=30,MATCH(P5,$C$13:$C$18,1),IF(AND(P14=40,P5&lt;1407),1,IF(P14=40,MATCH(P5,$D$13:$D$18,1),IF(AND(P14=50,P5&lt;1343),1,IF(P14=50,MATCH(P5,$E$13:$E$18,1),IF(AND(P14=61,P5&lt;1247),1,IF(P14=61,MATCH(P5,$F$13:$F$18,1)))))))))))))</f>
        <v>0</v>
      </c>
      <c r="R16" s="49" t="s">
        <v>105</v>
      </c>
      <c r="S16" s="37" t="b">
        <f>IF(AND(S14=13,S5&lt;1599),1,IF(S14=13,MATCH(S5,$A$13:$A$18,1),IF(AND(S14=20,S5&lt;1535),1,IF(S14=20,MATCH(S5,$B$13:$B$18,1),IF(AND(S14=30,S5&lt;1503),1,IF(S14=30,MATCH(S5,$C$13:C18,1),IF(AND(S14=40,S5&lt;1407),1,IF(S14=40,MATCH(S5,$D$13:$D$18,1),IF(AND(S14=50,S5&lt;1343),1,IF(S14=50,MATCH(S5,$E$13:$E$18,1),IF(AND(S14=61,S5&lt;1247),1,IF(S14=61,MATCH(S5,$F$13:$F$18,1)))))))))))))</f>
        <v>0</v>
      </c>
      <c r="U16" s="49" t="s">
        <v>105</v>
      </c>
      <c r="V16" s="37" t="b">
        <f>IF(AND(V14=13,V5&lt;1599),1,IF(V14=13,MATCH(V5,$A$13:$A$18,1),IF(AND(V14=20,V5&lt;1535),1,IF(V14=20,MATCH(V5,$B$13:$B$18,1),IF(AND(V14=30,V5&lt;1503),1,IF(V14=30,MATCH(V5,$C$13:C18,1),IF(AND(V14=40,V5&lt;1407),1,IF(V14=40,MATCH(V5,$D$13:$D$18,1),IF(AND(V14=50,V5&lt;1343),1,IF(V14=50,MATCH(V5,$E$13:$E$18,1),IF(AND(V14=61,V5&lt;1247),1,IF(V14=61,MATCH(V5,$F$13:$F$18,1)))))))))))))</f>
        <v>0</v>
      </c>
      <c r="X16" s="49" t="s">
        <v>105</v>
      </c>
      <c r="Y16" s="37" t="b">
        <f>IF(AND(Y14=13,Y5&lt;1599),1,IF(Y14=13,MATCH(Y5,$A$13:$A$18,1),IF(AND(Y14=20,Y5&lt;1535),1,IF(Y14=20,MATCH(Y5,$B$13:$B$18,1),IF(AND(Y14=30,Y5&lt;1503),1,IF(Y14=30,MATCH(Y5,$C$13:$C$18,1),IF(AND(Y14=40,Y5&lt;1407),1,IF(Y14=40,MATCH(Y5,$D$13:$D$18,1),IF(AND(Y14=50,Y5&lt;1343),1,IF(Y14=50,MATCH(Y5,$E$13:$E$18,1),IF(AND(Y14=61,Y5&lt;1247),1,IF(Y14=61,MATCH(Y5,$F$13:$F$18,1)))))))))))))</f>
        <v>0</v>
      </c>
    </row>
    <row r="17" spans="1:25" x14ac:dyDescent="0.3">
      <c r="A17" s="37">
        <v>2289</v>
      </c>
      <c r="B17" s="37">
        <v>2415</v>
      </c>
      <c r="C17" s="37">
        <v>2065</v>
      </c>
      <c r="D17" s="37">
        <v>1985</v>
      </c>
      <c r="E17" s="37">
        <v>1889</v>
      </c>
      <c r="F17" s="37">
        <v>1745</v>
      </c>
      <c r="G17" s="37" t="s">
        <v>99</v>
      </c>
      <c r="I17" s="49" t="s">
        <v>54</v>
      </c>
      <c r="J17" s="37" t="str">
        <f>IFERROR(INDEX($A$13:$G$18,J16,J15),"")</f>
        <v/>
      </c>
      <c r="L17" s="49" t="s">
        <v>54</v>
      </c>
      <c r="M17" s="37" t="str">
        <f>IFERROR(INDEX($A$13:$G$18,M16,M15),"")</f>
        <v/>
      </c>
      <c r="O17" s="49" t="s">
        <v>54</v>
      </c>
      <c r="P17" s="37" t="str">
        <f>IFERROR(INDEX($A$13:$G$18,P16,P15),"")</f>
        <v/>
      </c>
      <c r="R17" s="49" t="s">
        <v>54</v>
      </c>
      <c r="S17" s="37" t="str">
        <f>IFERROR(INDEX($A$13:$G$18,S16,S15),"")</f>
        <v/>
      </c>
      <c r="U17" s="49" t="s">
        <v>54</v>
      </c>
      <c r="V17" s="37" t="str">
        <f>IFERROR(INDEX($A$13:$G$18,V16,V15),"")</f>
        <v/>
      </c>
      <c r="X17" s="49" t="s">
        <v>54</v>
      </c>
      <c r="Y17" s="37" t="str">
        <f>IFERROR(INDEX($A$13:$G$18,Y16,Y15),"")</f>
        <v/>
      </c>
    </row>
    <row r="18" spans="1:25" x14ac:dyDescent="0.3">
      <c r="A18" s="37">
        <v>2432</v>
      </c>
      <c r="B18" s="37">
        <v>2336</v>
      </c>
      <c r="C18" s="37">
        <v>2240</v>
      </c>
      <c r="D18" s="37">
        <v>2160</v>
      </c>
      <c r="E18" s="37">
        <v>2096</v>
      </c>
      <c r="F18" s="37">
        <v>1904</v>
      </c>
      <c r="G18" s="37" t="s">
        <v>100</v>
      </c>
      <c r="I18" s="40" t="s">
        <v>106</v>
      </c>
      <c r="J18" s="38" t="b">
        <f>IF(J14=13,VLOOKUP(J17,Mulher1313,7,0),IF(J14=20,VLOOKUP(J17,Mulher20,6,0),IF(J14=30,VLOOKUP(J17,Mulher30,5,0),IF(J14=40,VLOOKUP(J17,Mulher40,4,0),IF(J14=50,VLOOKUP(J17,Mulher50,3,0),IF(J14=61,VLOOKUP(J17,Mulher61,2,0)))))))</f>
        <v>0</v>
      </c>
      <c r="L18" s="40" t="s">
        <v>106</v>
      </c>
      <c r="M18" s="38" t="b">
        <f>IF(M14=13,VLOOKUP(M17,Mulher1313,7,0),IF(M14=20,VLOOKUP(M17,Mulher20,6,0),IF(M14=30,VLOOKUP(M17,Mulher30,5,0),IF(M14=40,VLOOKUP(M17,Mulher40,4,0),IF(M14=50,VLOOKUP(M17,Mulher50,3,0),IF(M14=61,VLOOKUP(M17,Mulher61,2,0)))))))</f>
        <v>0</v>
      </c>
      <c r="O18" s="40" t="s">
        <v>106</v>
      </c>
      <c r="P18" s="38" t="b">
        <f>IF(P14=13,VLOOKUP(P17,Mulher1313,7,0),IF(P14=20,VLOOKUP(P17,Mulher20,6,0),IF(P14=30,VLOOKUP(P17,Mulher30,5,0),IF(P14=40,VLOOKUP(P17,Mulher40,4,0),IF(P14=50,VLOOKUP(P17,Mulher50,3,0),IF(P14=61,VLOOKUP(P17,Mulher61,2,0)))))))</f>
        <v>0</v>
      </c>
      <c r="R18" s="40" t="s">
        <v>106</v>
      </c>
      <c r="S18" s="38" t="b">
        <f>IF(S14=13,VLOOKUP(S17,Mulher1313,7,0),IF(S14=20,VLOOKUP(S17,Mulher20,6,0),IF(S14=30,VLOOKUP(S17,Mulher30,5,0),IF(S14=40,VLOOKUP(S17,Mulher40,4,0),IF(S14=50,VLOOKUP(S17,Mulher50,3,0),IF(S14=61,VLOOKUP(S17,Mulher61,2,0)))))))</f>
        <v>0</v>
      </c>
      <c r="U18" s="40" t="s">
        <v>106</v>
      </c>
      <c r="V18" s="38" t="b">
        <f>IF(V14=13,VLOOKUP(V17,Mulher1313,7,0),IF(V14=20,VLOOKUP(V17,Mulher20,6,0),IF(V14=30,VLOOKUP(V17,Mulher30,5,0),IF(V14=40,VLOOKUP(V17,Mulher40,4,0),IF(V14=50,VLOOKUP(V17,Mulher50,3,0),IF(V14=61,VLOOKUP(V17,Mulher61,2,0)))))))</f>
        <v>0</v>
      </c>
      <c r="X18" s="40" t="s">
        <v>106</v>
      </c>
      <c r="Y18" s="38" t="b">
        <f>IF(Y14=13,VLOOKUP(Y17,Mulher1313,7,0),IF(Y14=20,VLOOKUP(Y17,Mulher20,6,0),IF(Y14=30,VLOOKUP(Y17,Mulher30,5,0),IF(Y14=40,VLOOKUP(Y17,Mulher40,4,0),IF(Y14=50,VLOOKUP(Y17,Mulher50,3,0),IF(Y14=61,VLOOKUP(Y17,Mulher61,2,0)))))))</f>
        <v>0</v>
      </c>
    </row>
    <row r="20" spans="1:25" x14ac:dyDescent="0.3">
      <c r="A20" s="227" t="s">
        <v>113</v>
      </c>
      <c r="B20" s="227"/>
      <c r="C20" s="227"/>
      <c r="D20" s="227"/>
      <c r="E20" s="227"/>
      <c r="F20" s="227"/>
      <c r="G20" s="227"/>
      <c r="I20" t="str">
        <f ca="1">VLOOKUP(J26,C22:G26,5,0)</f>
        <v>Fraco</v>
      </c>
    </row>
    <row r="21" spans="1:25" x14ac:dyDescent="0.3">
      <c r="A21" s="42">
        <v>15</v>
      </c>
      <c r="B21" s="46">
        <v>20</v>
      </c>
      <c r="C21" s="46">
        <v>30</v>
      </c>
      <c r="D21" s="46">
        <v>40</v>
      </c>
      <c r="E21" s="46">
        <v>50</v>
      </c>
      <c r="F21" s="46">
        <v>60</v>
      </c>
    </row>
    <row r="22" spans="1:25" x14ac:dyDescent="0.3">
      <c r="A22" s="44">
        <v>39</v>
      </c>
      <c r="B22" s="37">
        <v>36</v>
      </c>
      <c r="C22" s="37">
        <v>30</v>
      </c>
      <c r="D22" s="37">
        <v>22</v>
      </c>
      <c r="E22" s="37">
        <v>21</v>
      </c>
      <c r="F22" s="37">
        <v>18</v>
      </c>
      <c r="G22" s="43" t="s">
        <v>99</v>
      </c>
      <c r="I22" s="49" t="s">
        <v>115</v>
      </c>
      <c r="J22" s="39">
        <f>'Força e Resistência e Aerobico'!$F$16</f>
        <v>0</v>
      </c>
      <c r="L22" s="49" t="s">
        <v>115</v>
      </c>
      <c r="M22" s="39">
        <f>'Força e Resistência e Aerobico2'!$F$16</f>
        <v>0</v>
      </c>
      <c r="O22" s="49" t="s">
        <v>115</v>
      </c>
      <c r="P22" s="39">
        <f>'Força e Resistência e Aerobico3'!$F$16</f>
        <v>0</v>
      </c>
      <c r="R22" s="49" t="s">
        <v>115</v>
      </c>
      <c r="S22" s="39">
        <f>'Força e Resistência e Aerobico4'!$F$16</f>
        <v>0</v>
      </c>
      <c r="U22" s="49" t="s">
        <v>115</v>
      </c>
      <c r="V22" s="39">
        <f>'Força e Resistência e Aerobico5'!$F$16</f>
        <v>0</v>
      </c>
      <c r="X22" s="49" t="s">
        <v>115</v>
      </c>
      <c r="Y22" s="39">
        <f>'Força e Resistência e Aerobico6'!$F$16</f>
        <v>0</v>
      </c>
    </row>
    <row r="23" spans="1:25" x14ac:dyDescent="0.3">
      <c r="A23" s="44">
        <v>38</v>
      </c>
      <c r="B23" s="37">
        <v>35</v>
      </c>
      <c r="C23" s="37">
        <v>29</v>
      </c>
      <c r="D23" s="37">
        <v>21</v>
      </c>
      <c r="E23" s="37">
        <v>20</v>
      </c>
      <c r="F23" s="37">
        <v>17</v>
      </c>
      <c r="G23" s="45" t="s">
        <v>109</v>
      </c>
      <c r="I23" s="49" t="s">
        <v>103</v>
      </c>
      <c r="J23" s="39">
        <f ca="1">IF($J$3="Masculino",HLOOKUP(J4,$A$21:$G$26,1,1),"")</f>
        <v>30</v>
      </c>
      <c r="L23" s="49" t="s">
        <v>103</v>
      </c>
      <c r="M23" s="39">
        <f ca="1">IF($J$3="Masculino",HLOOKUP(M4,$A$21:$G$26,1,1),"")</f>
        <v>30</v>
      </c>
      <c r="O23" s="49" t="s">
        <v>103</v>
      </c>
      <c r="P23" s="39">
        <f ca="1">IF($P$3="Masculino",HLOOKUP(P4,$A$21:$G$26,1,1),"")</f>
        <v>30</v>
      </c>
      <c r="R23" s="49" t="s">
        <v>103</v>
      </c>
      <c r="S23" s="39">
        <f ca="1">IF($S$3="Masculino",HLOOKUP(S4,$A$21:$G$26,1,1),"")</f>
        <v>30</v>
      </c>
      <c r="U23" s="49" t="s">
        <v>103</v>
      </c>
      <c r="V23" s="39">
        <f ca="1">IF($V$3="Masculino",HLOOKUP(V4,$A$21:$G$26,1,1),"")</f>
        <v>30</v>
      </c>
      <c r="X23" s="49" t="s">
        <v>103</v>
      </c>
      <c r="Y23" s="39">
        <f ca="1">IF($Y$3="Masculino",HLOOKUP(Y4,$A$21:$G$26,1,1),"")</f>
        <v>30</v>
      </c>
    </row>
    <row r="24" spans="1:25" x14ac:dyDescent="0.3">
      <c r="A24" s="44">
        <v>28</v>
      </c>
      <c r="B24" s="37">
        <v>28</v>
      </c>
      <c r="C24" s="37">
        <v>21</v>
      </c>
      <c r="D24" s="37">
        <v>16</v>
      </c>
      <c r="E24" s="37">
        <v>12</v>
      </c>
      <c r="F24" s="37">
        <v>10</v>
      </c>
      <c r="G24" s="45" t="s">
        <v>110</v>
      </c>
      <c r="I24" s="49" t="s">
        <v>104</v>
      </c>
      <c r="J24" s="37">
        <f ca="1">IFERROR(MATCH(J23,$A$21:$F$21,1),"")</f>
        <v>3</v>
      </c>
      <c r="L24" s="49" t="s">
        <v>104</v>
      </c>
      <c r="M24" s="37">
        <f ca="1">IFERROR(MATCH(M23,$A$21:$F$21,1),"")</f>
        <v>3</v>
      </c>
      <c r="O24" s="49" t="s">
        <v>104</v>
      </c>
      <c r="P24" s="37">
        <f ca="1">IFERROR(MATCH(P23,$A$21:$F$21,1),"")</f>
        <v>3</v>
      </c>
      <c r="R24" s="49" t="s">
        <v>104</v>
      </c>
      <c r="S24" s="37">
        <f ca="1">IFERROR(MATCH(S23,$A$21:$F$21,1),"")</f>
        <v>3</v>
      </c>
      <c r="U24" s="49" t="s">
        <v>104</v>
      </c>
      <c r="V24" s="37">
        <f ca="1">IFERROR(MATCH(V23,$A$21:$F$21,1),"")</f>
        <v>3</v>
      </c>
      <c r="X24" s="49" t="s">
        <v>104</v>
      </c>
      <c r="Y24" s="37">
        <f ca="1">IFERROR(MATCH(Y23,$A$21:$F$21,1),"")</f>
        <v>3</v>
      </c>
    </row>
    <row r="25" spans="1:25" x14ac:dyDescent="0.3">
      <c r="A25" s="44">
        <v>22</v>
      </c>
      <c r="B25" s="37">
        <v>21</v>
      </c>
      <c r="C25" s="37">
        <v>16</v>
      </c>
      <c r="D25" s="37">
        <v>12</v>
      </c>
      <c r="E25" s="37">
        <v>9</v>
      </c>
      <c r="F25" s="37">
        <v>7</v>
      </c>
      <c r="G25" s="45" t="s">
        <v>111</v>
      </c>
      <c r="I25" s="49" t="s">
        <v>105</v>
      </c>
      <c r="J25" s="37">
        <f ca="1">IF(AND(J23=15,J22&gt;A22),1,IF(J23=15,MATCH(J22,$A$22:$A$26,-1),IF(AND(J23=20,J22&gt;36),1,IF(J23=20,MATCH(J22,$B$22:$B$26,-1),IF(AND(J23=30,J22&gt;30),1,IF(J23=30,MATCH(J22,$C$22:$C$26,-1),IF(AND(J23=40,J22&gt;22),1,IF(J23=40,MATCH(J22,$D$22:$D$26,-1),IF(AND(J23=50,J22&gt;21),1,IF(J23=50,MATCH(J22,$E$22:$E$26,-1),IF(AND(J23=60,J22&gt;18),1,IF(J23=60,MATCH(J22,$F$22:$F$26,-1)))))))))))))</f>
        <v>5</v>
      </c>
      <c r="L25" s="49" t="s">
        <v>105</v>
      </c>
      <c r="M25" s="37">
        <f ca="1">IF(AND(M23=15,M22&gt;D22),1,IF(M23=15,MATCH(M22,$A$22:$A$26,-1),IF(AND(M23=20,M22&gt;36),1,IF(M23=20,MATCH(M22,$B$22:$B$26,-1),IF(AND(M23=30,M22&gt;30),1,IF(M23=30,MATCH(M22,$C$22:$C$26,-1),IF(AND(M23=40,M22&gt;22),1,IF(M23=40,MATCH(M22,$D$22:$D$26,-1),IF(AND(M23=50,M22&gt;21),1,IF(M23=50,MATCH(M22,$E$22:$E$26,-1),IF(AND(M23=60,M22&gt;18),1,IF(M23=60,MATCH(M22,$F$22:$F$26,-1)))))))))))))</f>
        <v>5</v>
      </c>
      <c r="O25" s="49" t="s">
        <v>105</v>
      </c>
      <c r="P25" s="37">
        <f ca="1">IF(AND(P23=15,P22&gt;G22),1,IF(P23=15,MATCH(P22,$A$22:$A$26,-1),IF(AND(P23=20,P22&gt;36),1,IF(P23=20,MATCH(P22,$B$22:$B$26,-1),IF(AND(P23=30,P22&gt;30),1,IF(P23=30,MATCH(P22,$C$22:$C$26,-1),IF(AND(P23=40,P22&gt;22),1,IF(P23=40,MATCH(P22,$D$22:$D$26,-1),IF(AND(P23=50,P22&gt;21),1,IF(P23=50,MATCH(P22,$E$22:$E$26,-1),IF(AND(P23=60,P22&gt;18),1,IF(P23=60,MATCH(P22,$F$22:$F$26,-1)))))))))))))</f>
        <v>5</v>
      </c>
      <c r="R25" s="49" t="s">
        <v>105</v>
      </c>
      <c r="S25" s="37">
        <f ca="1">IF(AND(S23=15,S22&gt;J22),1,IF(S23=15,MATCH(S22,$A$22:$A$26,-1),IF(AND(S23=20,S22&gt;36),1,IF(S23=20,MATCH(S22,$B$22:$B$26,-1),IF(AND(S23=30,S22&gt;30),1,IF(S23=30,MATCH(S22,$C$22:$C$26,-1),IF(AND(S23=40,S22&gt;22),1,IF(S23=40,MATCH(S22,$D$22:$D$26,-1),IF(AND(S23=50,S22&gt;21),1,IF(S23=50,MATCH(S22,$E$22:$E$26,-1),IF(AND(S23=60,S22&gt;18),1,IF(S23=60,MATCH(S22,$F$22:$F$26,-1)))))))))))))</f>
        <v>5</v>
      </c>
      <c r="U25" s="49" t="s">
        <v>105</v>
      </c>
      <c r="V25" s="37">
        <f ca="1">IF(AND(V23=15,V22&gt;M22),1,IF(V23=15,MATCH(V22,$A$22:$A$26,-1),IF(AND(V23=20,V22&gt;36),1,IF(V23=20,MATCH(V22,$B$22:$B$26,-1),IF(AND(V23=30,V22&gt;30),1,IF(V23=30,MATCH(V22,$C$22:$C$26,-1),IF(AND(V23=40,V22&gt;22),1,IF(V23=40,MATCH(V22,$D$22:$D$26,-1),IF(AND(V23=50,V22&gt;21),1,IF(V23=50,MATCH(V22,$E$22:$E$26,-1),IF(AND(V23=60,V22&gt;18),1,IF(V23=60,MATCH(V22,$F$22:$F$26,-1)))))))))))))</f>
        <v>5</v>
      </c>
      <c r="X25" s="49" t="s">
        <v>105</v>
      </c>
      <c r="Y25" s="37">
        <f ca="1">IF(AND(Y23=15,Y22&gt;P22),1,IF(Y23=15,MATCH(Y22,$A$22:$A$26,-1),IF(AND(Y23=20,Y22&gt;36),1,IF(Y23=20,MATCH(Y22,$B$22:$B$26,-1),IF(AND(Y23=30,Y22&gt;30),1,IF(Y23=30,MATCH(Y22,$C$22:$C$26,-1),IF(AND(Y23=40,Y22&gt;22),1,IF(Y23=40,MATCH(Y22,$D$22:$D$26,-1),IF(AND(Y23=50,Y22&gt;21),1,IF(Y23=50,MATCH(Y22,$E$22:$E$26,-1),IF(AND(Y23=60,Y22&gt;18),1,IF(Y23=60,MATCH(Y22,$F$22:$F$26,-1)))))))))))))</f>
        <v>5</v>
      </c>
    </row>
    <row r="26" spans="1:25" x14ac:dyDescent="0.3">
      <c r="A26" s="44">
        <v>17</v>
      </c>
      <c r="B26" s="37">
        <v>16</v>
      </c>
      <c r="C26" s="37">
        <v>11</v>
      </c>
      <c r="D26" s="37">
        <v>9</v>
      </c>
      <c r="E26" s="37" t="s">
        <v>112</v>
      </c>
      <c r="F26" s="37">
        <v>4</v>
      </c>
      <c r="G26" s="45" t="s">
        <v>96</v>
      </c>
      <c r="I26" s="49" t="s">
        <v>54</v>
      </c>
      <c r="J26" s="37">
        <f ca="1">IFERROR(INDEX($A$22:$G$26,J25,J24),"")</f>
        <v>11</v>
      </c>
      <c r="L26" s="49" t="s">
        <v>54</v>
      </c>
      <c r="M26" s="37">
        <f ca="1">IFERROR(INDEX($A$22:$G$26,M25,M24),"")</f>
        <v>11</v>
      </c>
      <c r="O26" s="49" t="s">
        <v>54</v>
      </c>
      <c r="P26" s="37">
        <f ca="1">IFERROR(INDEX($A$22:$G$26,P25,P24),"")</f>
        <v>11</v>
      </c>
      <c r="R26" s="49" t="s">
        <v>54</v>
      </c>
      <c r="S26" s="37">
        <f ca="1">IFERROR(INDEX($A$22:$G$26,S25,S24),"")</f>
        <v>11</v>
      </c>
      <c r="U26" s="49" t="s">
        <v>54</v>
      </c>
      <c r="V26" s="37">
        <f ca="1">IFERROR(INDEX($A$22:$G$26,V25,V24),"")</f>
        <v>11</v>
      </c>
      <c r="X26" s="49" t="s">
        <v>54</v>
      </c>
      <c r="Y26" s="37">
        <f ca="1">IFERROR(INDEX($A$22:$G$26,Y25,Y24),"")</f>
        <v>11</v>
      </c>
    </row>
    <row r="27" spans="1:25" x14ac:dyDescent="0.3">
      <c r="I27" s="40" t="s">
        <v>106</v>
      </c>
      <c r="J27" s="38" t="str">
        <f ca="1">IF(J23=15,VLOOKUP(J26,RBhomem15,7,0),IF(J23=20,VLOOKUP(J26,RBhomem20,6,0),IF(J23=30,VLOOKUP(J26,RBhomem30,5,0),IF(J23=40,VLOOKUP(J26,RBhomem40,4,0),IF(J23=50,VLOOKUP(J26,RBhomem50,3,0),IF(J23=60,VLOOKUP(J26,RBhomem60,2,0)))))))</f>
        <v>Fraco</v>
      </c>
      <c r="L27" s="40" t="s">
        <v>106</v>
      </c>
      <c r="M27" s="38" t="str">
        <f ca="1">IF(M23=15,VLOOKUP(M26,RBhomem15,7,0),IF(M23=20,VLOOKUP(M26,RBhomem20,6,0),IF(M23=30,VLOOKUP(M26,RBhomem30,5,0),IF(M23=40,VLOOKUP(M26,RBhomem40,4,0),IF(M23=50,VLOOKUP(M26,RBhomem50,3,0),IF(M23=60,VLOOKUP(M26,RBhomem60,2,0)))))))</f>
        <v>Fraco</v>
      </c>
      <c r="O27" s="40" t="s">
        <v>106</v>
      </c>
      <c r="P27" s="38" t="str">
        <f ca="1">IF(P23=15,VLOOKUP(P26,RBhomem15,7,0),IF(P23=20,VLOOKUP(P26,RBhomem20,6,0),IF(P23=30,VLOOKUP(P26,RBhomem30,5,0),IF(P23=40,VLOOKUP(P26,RBhomem40,4,0),IF(P23=50,VLOOKUP(P26,RBhomem50,3,0),IF(P23=60,VLOOKUP(P26,RBhomem60,2,0)))))))</f>
        <v>Fraco</v>
      </c>
      <c r="R27" s="40" t="s">
        <v>106</v>
      </c>
      <c r="S27" s="38" t="str">
        <f ca="1">IF(S23=15,VLOOKUP(S26,RBhomem15,7,0),IF(S23=20,VLOOKUP(S26,RBhomem20,6,0),IF(S23=30,VLOOKUP(S26,RBhomem30,5,0),IF(S23=40,VLOOKUP(S26,RBhomem40,4,0),IF(S23=50,VLOOKUP(S26,RBhomem50,3,0),IF(S23=60,VLOOKUP(S26,RBhomem60,2,0)))))))</f>
        <v>Fraco</v>
      </c>
      <c r="U27" s="40" t="s">
        <v>106</v>
      </c>
      <c r="V27" s="38" t="str">
        <f ca="1">IF(V23=15,VLOOKUP(V26,RBhomem15,7,0),IF(V23=20,VLOOKUP(V26,RBhomem20,6,0),IF(V23=30,VLOOKUP(V26,RBhomem30,5,0),IF(V23=40,VLOOKUP(V26,RBhomem40,4,0),IF(V23=50,VLOOKUP(V26,RBhomem50,3,0),IF(V23=60,VLOOKUP(V26,RBhomem60,2,0)))))))</f>
        <v>Fraco</v>
      </c>
      <c r="X27" s="40" t="s">
        <v>106</v>
      </c>
      <c r="Y27" s="38" t="str">
        <f ca="1">IF(Y23=15,VLOOKUP(Y26,RBhomem15,7,0),IF(Y23=20,VLOOKUP(Y26,RBhomem20,6,0),IF(Y23=30,VLOOKUP(Y26,RBhomem30,5,0),IF(Y23=40,VLOOKUP(Y26,RBhomem40,4,0),IF(Y23=50,VLOOKUP(Y26,RBhomem50,3,0),IF(Y23=60,VLOOKUP(Y26,RBhomem60,2,0)))))))</f>
        <v>Fraco</v>
      </c>
    </row>
    <row r="28" spans="1:25" x14ac:dyDescent="0.3">
      <c r="A28" s="227" t="s">
        <v>114</v>
      </c>
      <c r="B28" s="227"/>
      <c r="C28" s="227"/>
      <c r="D28" s="227"/>
      <c r="E28" s="227"/>
      <c r="F28" s="227"/>
      <c r="G28" s="227"/>
    </row>
    <row r="29" spans="1:25" x14ac:dyDescent="0.3">
      <c r="A29" s="46">
        <v>15</v>
      </c>
      <c r="B29" s="46">
        <v>20</v>
      </c>
      <c r="C29" s="46">
        <v>30</v>
      </c>
      <c r="D29" s="46">
        <v>40</v>
      </c>
      <c r="E29" s="46">
        <v>50</v>
      </c>
      <c r="F29" s="46">
        <v>60</v>
      </c>
      <c r="G29" s="43" t="s">
        <v>3</v>
      </c>
      <c r="I29" s="49" t="s">
        <v>103</v>
      </c>
      <c r="J29" s="39" t="str">
        <f>IF($J$3="Feminino",HLOOKUP(J4,A29:G34,1,1),"")</f>
        <v/>
      </c>
      <c r="L29" s="49" t="s">
        <v>103</v>
      </c>
      <c r="M29" s="39" t="str">
        <f>IF($M$3="Feminino",HLOOKUP(M4,A29:G34,1,1),"")</f>
        <v/>
      </c>
      <c r="O29" s="49" t="s">
        <v>103</v>
      </c>
      <c r="P29" s="39" t="str">
        <f>IF($P$3="Feminino",HLOOKUP(P4,G29:M34,1,1),"")</f>
        <v/>
      </c>
      <c r="R29" s="49" t="s">
        <v>103</v>
      </c>
      <c r="S29" s="39" t="str">
        <f>IF($S$3="Feminino",HLOOKUP(S4,J29:P34,1,1),"")</f>
        <v/>
      </c>
      <c r="U29" s="49" t="s">
        <v>103</v>
      </c>
      <c r="V29" s="39" t="str">
        <f>IF($V$3="Feminino",HLOOKUP(V4,M29:S34,1,1),"")</f>
        <v/>
      </c>
      <c r="X29" s="49" t="s">
        <v>103</v>
      </c>
      <c r="Y29" s="39" t="str">
        <f>IF($Y$3="Feminino",HLOOKUP(Y4,P29:V34,1,1),"")</f>
        <v/>
      </c>
    </row>
    <row r="30" spans="1:25" x14ac:dyDescent="0.3">
      <c r="A30" s="37">
        <v>33</v>
      </c>
      <c r="B30" s="37">
        <v>30</v>
      </c>
      <c r="C30" s="37">
        <v>27</v>
      </c>
      <c r="D30" s="37">
        <v>24</v>
      </c>
      <c r="E30" s="37">
        <v>21</v>
      </c>
      <c r="F30" s="37">
        <v>17</v>
      </c>
      <c r="G30" s="43" t="s">
        <v>99</v>
      </c>
      <c r="I30" s="49" t="s">
        <v>104</v>
      </c>
      <c r="J30" s="37" t="str">
        <f>IFERROR(MATCH(J29,$A$29:$F$29,1),"")</f>
        <v/>
      </c>
      <c r="L30" s="49" t="s">
        <v>104</v>
      </c>
      <c r="M30" s="37" t="str">
        <f>IFERROR(MATCH(M29,$A$29:$F$29,1),"")</f>
        <v/>
      </c>
      <c r="O30" s="49" t="s">
        <v>104</v>
      </c>
      <c r="P30" s="37" t="str">
        <f>IFERROR(MATCH(P29,$A$29:$F$29,1),"")</f>
        <v/>
      </c>
      <c r="R30" s="49" t="s">
        <v>104</v>
      </c>
      <c r="S30" s="37" t="str">
        <f>IFERROR(MATCH(S29,$A$29:$F$29,1),"")</f>
        <v/>
      </c>
      <c r="U30" s="49" t="s">
        <v>104</v>
      </c>
      <c r="V30" s="37" t="str">
        <f>IFERROR(MATCH(V29,$A$29:$F$29,1),"")</f>
        <v/>
      </c>
      <c r="X30" s="49" t="s">
        <v>104</v>
      </c>
      <c r="Y30" s="37" t="str">
        <f>IFERROR(MATCH(Y29,$A$29:$F$29,1),"")</f>
        <v/>
      </c>
    </row>
    <row r="31" spans="1:25" x14ac:dyDescent="0.3">
      <c r="A31" s="37">
        <v>32</v>
      </c>
      <c r="B31" s="37">
        <v>29</v>
      </c>
      <c r="C31" s="37">
        <v>26</v>
      </c>
      <c r="D31" s="37">
        <v>23</v>
      </c>
      <c r="E31" s="37">
        <v>22</v>
      </c>
      <c r="F31" s="37">
        <v>16</v>
      </c>
      <c r="G31" s="43" t="s">
        <v>109</v>
      </c>
      <c r="I31" s="49" t="s">
        <v>105</v>
      </c>
      <c r="J31" s="37" t="b">
        <f>IF(AND(J29=15,J22&gt;33),1,IF(J29=15,MATCH(J22,$A$30:$A$34,-1),IF(AND(J29=20,J22&gt;36),1,IF(J29=20,MATCH(J22,$B$30:$B$34,-1),IF(AND(J29=30,J22&gt;30),1,IF(J29=30,MATCH(J22,$C$30:$C$34,-1),IF(AND(J29=40,J22&gt;22),1,IF(J29=40,MATCH(J22,$D$30:$D$34,-1),IF(AND(J29=50,J22&gt;21),1,IF(J29=50,MATCH(J22,$E$30:$E$34,-1),IF(AND(J29=60,J22&gt;18),1,IF(J29=60,MATCH(J22,$F$30:$F$34,-1)))))))))))))</f>
        <v>0</v>
      </c>
      <c r="L31" s="49" t="s">
        <v>105</v>
      </c>
      <c r="M31" s="37" t="b">
        <f>IF(AND(M29=15,M22&gt;33),1,IF(M29=15,MATCH(M22,$A$30:$A$34,-1),IF(AND(M29=20,M22&gt;36),1,IF(M29=20,MATCH(M22,$B$30:$B$34,-1),IF(AND(M29=30,M22&gt;30),1,IF(M29=30,MATCH(M22,$C$30:$C$34,-1),IF(AND(M29=40,M22&gt;22),1,IF(M29=40,MATCH(M22,$D$30:$D$34,-1),IF(AND(M29=50,M22&gt;21),1,IF(M29=50,MATCH(M22,$E$30:$E$34,-1),IF(AND(M29=60,M22&gt;18),1,IF(M29=60,MATCH(M22,$F$30:$F$34,-1)))))))))))))</f>
        <v>0</v>
      </c>
      <c r="O31" s="49" t="s">
        <v>105</v>
      </c>
      <c r="P31" s="37" t="b">
        <f>IF(AND(P29=15,P22&gt;33),1,IF(P29=15,MATCH(P22,$A$30:$A$34,-1),IF(AND(P29=20,P22&gt;36),1,IF(P29=20,MATCH(P22,$B$30:$B$34,-1),IF(AND(P29=30,P22&gt;30),1,IF(P29=30,MATCH(P22,$C$30:$C$34,-1),IF(AND(P29=40,P22&gt;22),1,IF(P29=40,MATCH(P22,$D$30:$D$34,-1),IF(AND(P29=50,P22&gt;21),1,IF(P29=50,MATCH(P22,$E$30:$E$34,-1),IF(AND(P29=60,P22&gt;18),1,IF(P29=60,MATCH(P22,$F$30:$F$34,-1)))))))))))))</f>
        <v>0</v>
      </c>
      <c r="R31" s="49" t="s">
        <v>105</v>
      </c>
      <c r="S31" s="37" t="b">
        <f>IF(AND(S29=15,S22&gt;33),1,IF(S29=15,MATCH(S22,$A$30:$A$34,-1),IF(AND(S29=20,S22&gt;36),1,IF(S29=20,MATCH(S22,$B$30:$B$34,-1),IF(AND(S29=30,S22&gt;30),1,IF(S29=30,MATCH(S22,$C$30:$C$34,-1),IF(AND(S29=40,S22&gt;22),1,IF(S29=40,MATCH(S22,$D$30:$D$34,-1),IF(AND(S29=50,S22&gt;21),1,IF(S29=50,MATCH(S22,$E$30:$E$34,-1),IF(AND(S29=60,S22&gt;18),1,IF(S29=60,MATCH(S22,$F$30:$F$34,-1)))))))))))))</f>
        <v>0</v>
      </c>
      <c r="U31" s="49" t="s">
        <v>105</v>
      </c>
      <c r="V31" s="37" t="b">
        <f>IF(AND(V29=15,V22&gt;33),1,IF(V29=15,MATCH(V22,$A$30:$A$34,-1),IF(AND(V29=20,V22&gt;36),1,IF(V29=20,MATCH(V22,$B$30:$B$34,-1),IF(AND(V29=30,V22&gt;30),1,IF(V29=30,MATCH(V22,$C$30:$C$34,-1),IF(AND(V29=40,V22&gt;22),1,IF(V29=40,MATCH(V22,$D$30:$D$34,-1),IF(AND(V29=50,V22&gt;21),1,IF(V29=50,MATCH(V22,$E$30:$E$34,-1),IF(AND(V29=60,V22&gt;18),1,IF(V29=60,MATCH(V22,$F$30:$F$34,-1)))))))))))))</f>
        <v>0</v>
      </c>
      <c r="X31" s="49" t="s">
        <v>105</v>
      </c>
      <c r="Y31" s="37" t="b">
        <f>IF(AND(Y29=15,Y22&gt;33),1,IF(Y29=15,MATCH(Y22,$A$30:$A$34,-1),IF(AND(Y29=20,Y22&gt;36),1,IF(Y29=20,MATCH(Y22,$B$30:$B$34,-1),IF(AND(Y29=30,Y22&gt;30),1,IF(Y29=30,MATCH(Y22,$C$30:$C$34,-1),IF(AND(Y29=40,Y22&gt;22),1,IF(Y29=40,MATCH(Y22,$D$30:$D$34,-1),IF(AND(Y29=50,Y22&gt;21),1,IF(Y29=50,MATCH(Y22,$E$30:$E$34,-1),IF(AND(Y29=60,Y22&gt;18),1,IF(Y29=60,MATCH(Y22,$F$30:$F$34,-1)))))))))))))</f>
        <v>0</v>
      </c>
    </row>
    <row r="32" spans="1:25" x14ac:dyDescent="0.3">
      <c r="A32" s="37">
        <v>24</v>
      </c>
      <c r="B32" s="37">
        <v>20</v>
      </c>
      <c r="C32" s="37">
        <v>19</v>
      </c>
      <c r="D32" s="37">
        <v>14</v>
      </c>
      <c r="E32" s="37">
        <v>10</v>
      </c>
      <c r="F32" s="37">
        <v>11</v>
      </c>
      <c r="G32" s="43" t="s">
        <v>110</v>
      </c>
      <c r="I32" s="49" t="s">
        <v>54</v>
      </c>
      <c r="J32" s="37" t="str">
        <f>IFERROR(INDEX($A$30:$G$34,J31,J30),"")</f>
        <v/>
      </c>
      <c r="L32" s="49" t="s">
        <v>54</v>
      </c>
      <c r="M32" s="37" t="str">
        <f>IFERROR(INDEX($A$30:$G$34,M31,M30),"")</f>
        <v/>
      </c>
      <c r="O32" s="49" t="s">
        <v>54</v>
      </c>
      <c r="P32" s="37" t="str">
        <f>IFERROR(INDEX($A$30:$G$34,P31,P30),"")</f>
        <v/>
      </c>
      <c r="R32" s="49" t="s">
        <v>54</v>
      </c>
      <c r="S32" s="37" t="str">
        <f>IFERROR(INDEX($A$30:$G$34,S31,S30),"")</f>
        <v/>
      </c>
      <c r="U32" s="49" t="s">
        <v>54</v>
      </c>
      <c r="V32" s="37" t="str">
        <f>IFERROR(INDEX($A$30:$G$34,V31,V30),"")</f>
        <v/>
      </c>
      <c r="X32" s="49" t="s">
        <v>54</v>
      </c>
      <c r="Y32" s="37" t="str">
        <f>IFERROR(INDEX($A$30:$G$34,Y31,Y30),"")</f>
        <v/>
      </c>
    </row>
    <row r="33" spans="1:25" x14ac:dyDescent="0.3">
      <c r="A33" s="37">
        <v>17</v>
      </c>
      <c r="B33" s="37">
        <v>14</v>
      </c>
      <c r="C33" s="37">
        <v>12</v>
      </c>
      <c r="D33" s="37">
        <v>10</v>
      </c>
      <c r="E33" s="37">
        <v>6</v>
      </c>
      <c r="F33" s="37">
        <v>4</v>
      </c>
      <c r="G33" s="43" t="s">
        <v>111</v>
      </c>
      <c r="I33" s="40" t="s">
        <v>106</v>
      </c>
      <c r="J33" s="38" t="b">
        <f>IF(J29=15,VLOOKUP(J32,RBmulher15,7,0),IF(J29=20,VLOOKUP(J32,RBmulher20,6,0),IF(J29=30,VLOOKUP(J32,RBmulher30,5,0),IF(J29=40,VLOOKUP(J32,RBmulher40,4,0),IF(J29=50,VLOOKUP(J32,RBmulher50,3,0),IF(J29=60,VLOOKUP(J32,RBmulher60,2,0)))))))</f>
        <v>0</v>
      </c>
      <c r="L33" s="40" t="s">
        <v>106</v>
      </c>
      <c r="M33" s="38" t="b">
        <f>IF(M29=15,VLOOKUP(M32,RBmulher15,7,0),IF(M29=20,VLOOKUP(M32,RBmulher20,6,0),IF(M29=30,VLOOKUP(M32,RBmulher30,5,0),IF(M29=40,VLOOKUP(M32,RBmulher40,4,0),IF(M29=50,VLOOKUP(M32,RBmulher50,3,0),IF(M29=60,VLOOKUP(M32,RBmulher60,2,0)))))))</f>
        <v>0</v>
      </c>
      <c r="O33" s="40" t="s">
        <v>106</v>
      </c>
      <c r="P33" s="38" t="b">
        <f>IF(P29=15,VLOOKUP(P32,RBmulher15,7,0),IF(P29=20,VLOOKUP(P32,RBmulher20,6,0),IF(P29=30,VLOOKUP(P32,RBmulher30,5,0),IF(P29=40,VLOOKUP(P32,RBmulher40,4,0),IF(P29=50,VLOOKUP(P32,RBmulher50,3,0),IF(P29=60,VLOOKUP(P32,RBmulher60,2,0)))))))</f>
        <v>0</v>
      </c>
      <c r="R33" s="40" t="s">
        <v>106</v>
      </c>
      <c r="S33" s="38" t="b">
        <f>IF(S29=15,VLOOKUP(S32,RBmulher15,7,0),IF(S29=20,VLOOKUP(S32,RBmulher20,6,0),IF(S29=30,VLOOKUP(S32,RBmulher30,5,0),IF(S29=40,VLOOKUP(S32,RBmulher40,4,0),IF(S29=50,VLOOKUP(S32,RBmulher50,3,0),IF(S29=60,VLOOKUP(S32,RBmulher60,2,0)))))))</f>
        <v>0</v>
      </c>
      <c r="U33" s="40" t="s">
        <v>106</v>
      </c>
      <c r="V33" s="38" t="b">
        <f>IF(V29=15,VLOOKUP(V32,RBmulher15,7,0),IF(V29=20,VLOOKUP(V32,RBmulher20,6,0),IF(V29=30,VLOOKUP(V32,RBmulher30,5,0),IF(V29=40,VLOOKUP(V32,RBmulher40,4,0),IF(V29=50,VLOOKUP(V32,RBmulher50,3,0),IF(V29=60,VLOOKUP(V32,RBmulher60,2,0)))))))</f>
        <v>0</v>
      </c>
      <c r="X33" s="40" t="s">
        <v>106</v>
      </c>
      <c r="Y33" s="38" t="b">
        <f>IF(Y29=15,VLOOKUP(Y32,RBmulher15,7,0),IF(Y29=20,VLOOKUP(Y32,RBmulher20,6,0),IF(Y29=30,VLOOKUP(Y32,RBmulher30,5,0),IF(Y29=40,VLOOKUP(Y32,RBmulher40,4,0),IF(Y29=50,VLOOKUP(Y32,RBmulher50,3,0),IF(Y29=60,VLOOKUP(Y32,RBmulher60,2,0)))))))</f>
        <v>0</v>
      </c>
    </row>
    <row r="34" spans="1:25" x14ac:dyDescent="0.3">
      <c r="A34" s="37">
        <v>11</v>
      </c>
      <c r="B34" s="37">
        <v>9</v>
      </c>
      <c r="C34" s="37">
        <v>7</v>
      </c>
      <c r="D34" s="37">
        <v>4</v>
      </c>
      <c r="E34" s="37">
        <v>1</v>
      </c>
      <c r="F34" s="37">
        <v>1</v>
      </c>
      <c r="G34" s="43" t="s">
        <v>96</v>
      </c>
    </row>
    <row r="36" spans="1:25" ht="16.5" customHeight="1" x14ac:dyDescent="0.3">
      <c r="A36" s="234" t="s">
        <v>117</v>
      </c>
      <c r="B36" s="234"/>
      <c r="C36" s="234"/>
      <c r="D36" s="234"/>
      <c r="E36" s="234"/>
      <c r="F36" s="234"/>
      <c r="G36" s="234"/>
    </row>
    <row r="37" spans="1:25" x14ac:dyDescent="0.3">
      <c r="A37" s="47">
        <v>15</v>
      </c>
      <c r="B37" s="47">
        <v>20</v>
      </c>
      <c r="C37" s="47">
        <v>30</v>
      </c>
      <c r="D37" s="47">
        <v>40</v>
      </c>
      <c r="E37" s="47">
        <v>50</v>
      </c>
      <c r="F37" s="47">
        <v>60</v>
      </c>
      <c r="G37" s="47" t="s">
        <v>3</v>
      </c>
      <c r="I37" s="49" t="s">
        <v>115</v>
      </c>
      <c r="J37" s="39">
        <f>'Força e Resistência e Aerobico'!$F$7</f>
        <v>0</v>
      </c>
      <c r="L37" s="49" t="s">
        <v>115</v>
      </c>
      <c r="M37" s="39">
        <f>'Força e Resistência e Aerobico2'!$F$7</f>
        <v>0</v>
      </c>
      <c r="O37" s="49" t="s">
        <v>115</v>
      </c>
      <c r="P37" s="39">
        <f>'Força e Resistência e Aerobico3'!$F$7</f>
        <v>0</v>
      </c>
      <c r="R37" s="49" t="s">
        <v>115</v>
      </c>
      <c r="S37" s="39">
        <f>'Força e Resistência e Aerobico4'!$F$7</f>
        <v>0</v>
      </c>
      <c r="U37" s="49" t="s">
        <v>115</v>
      </c>
      <c r="V37" s="39">
        <f>'Força e Resistência e Aerobico5'!$F$7</f>
        <v>0</v>
      </c>
      <c r="X37" s="49" t="s">
        <v>115</v>
      </c>
      <c r="Y37" s="39">
        <f>'Força e Resistência e Aerobico6'!$F$7</f>
        <v>0</v>
      </c>
    </row>
    <row r="38" spans="1:25" x14ac:dyDescent="0.3">
      <c r="A38" s="37">
        <v>48</v>
      </c>
      <c r="B38" s="37">
        <v>43</v>
      </c>
      <c r="C38" s="37">
        <v>36</v>
      </c>
      <c r="D38" s="37">
        <v>31</v>
      </c>
      <c r="E38" s="37">
        <v>26</v>
      </c>
      <c r="F38" s="37">
        <v>23</v>
      </c>
      <c r="G38" s="37" t="s">
        <v>99</v>
      </c>
      <c r="I38" s="49" t="s">
        <v>103</v>
      </c>
      <c r="J38" s="39">
        <f ca="1">IF($J$3="Masculino",HLOOKUP(J4,$A$37:$G$42,1,1),"")</f>
        <v>30</v>
      </c>
      <c r="L38" s="49" t="s">
        <v>103</v>
      </c>
      <c r="M38" s="39">
        <f ca="1">IF($J$3="Masculino",HLOOKUP(M4,$A$37:$G$42,1,1),"")</f>
        <v>30</v>
      </c>
      <c r="O38" s="49" t="s">
        <v>103</v>
      </c>
      <c r="P38" s="39">
        <f ca="1">IF($P$3="Masculino",HLOOKUP(P4,$A$37:$G$42,1,1),"")</f>
        <v>30</v>
      </c>
      <c r="R38" s="49" t="s">
        <v>103</v>
      </c>
      <c r="S38" s="39">
        <f ca="1">IF($J$3="Masculino",HLOOKUP(S4,$A$37:$G$42,1,1),"")</f>
        <v>30</v>
      </c>
      <c r="U38" s="49" t="s">
        <v>103</v>
      </c>
      <c r="V38" s="39">
        <f ca="1">IF($J$3="Masculino",HLOOKUP(V4,$A$37:$G$42,1,1),"")</f>
        <v>30</v>
      </c>
      <c r="X38" s="49" t="s">
        <v>103</v>
      </c>
      <c r="Y38" s="39">
        <f ca="1">IF($J$3="Masculino",HLOOKUP(Y4,$A$37:$G$42,1,1),"")</f>
        <v>30</v>
      </c>
    </row>
    <row r="39" spans="1:25" x14ac:dyDescent="0.3">
      <c r="A39" s="37" t="s">
        <v>116</v>
      </c>
      <c r="B39" s="37">
        <v>42</v>
      </c>
      <c r="C39" s="37">
        <v>35</v>
      </c>
      <c r="D39" s="37">
        <v>30</v>
      </c>
      <c r="E39" s="37">
        <v>25</v>
      </c>
      <c r="F39" s="37">
        <v>22</v>
      </c>
      <c r="G39" s="37" t="s">
        <v>109</v>
      </c>
      <c r="I39" s="49" t="s">
        <v>104</v>
      </c>
      <c r="J39" s="37">
        <f ca="1">IFERROR(MATCH(J38,$A$37:$F$37,1),"")</f>
        <v>3</v>
      </c>
      <c r="L39" s="49" t="s">
        <v>104</v>
      </c>
      <c r="M39" s="37">
        <f ca="1">IFERROR(MATCH(M38,$A$37:$F$37,1),"")</f>
        <v>3</v>
      </c>
      <c r="O39" s="49" t="s">
        <v>104</v>
      </c>
      <c r="P39" s="37">
        <f ca="1">IFERROR(MATCH(P38,$A$37:$F$37,1),"")</f>
        <v>3</v>
      </c>
      <c r="R39" s="49" t="s">
        <v>104</v>
      </c>
      <c r="S39" s="37">
        <f ca="1">IFERROR(MATCH(S38,$A$37:$F$37,1),"")</f>
        <v>3</v>
      </c>
      <c r="U39" s="49" t="s">
        <v>104</v>
      </c>
      <c r="V39" s="37">
        <f ca="1">IFERROR(MATCH(V38,$A$37:$F$37,1),"")</f>
        <v>3</v>
      </c>
      <c r="X39" s="49" t="s">
        <v>104</v>
      </c>
      <c r="Y39" s="37">
        <f ca="1">IFERROR(MATCH(Y38,$A$37:$F$37,1),"")</f>
        <v>3</v>
      </c>
    </row>
    <row r="40" spans="1:25" x14ac:dyDescent="0.3">
      <c r="A40" s="37">
        <v>41</v>
      </c>
      <c r="B40" s="37">
        <v>36</v>
      </c>
      <c r="C40" s="37">
        <v>30</v>
      </c>
      <c r="D40" s="37">
        <v>25</v>
      </c>
      <c r="E40" s="37">
        <v>21</v>
      </c>
      <c r="F40" s="37">
        <v>16</v>
      </c>
      <c r="G40" s="37" t="s">
        <v>110</v>
      </c>
      <c r="I40" s="49" t="s">
        <v>105</v>
      </c>
      <c r="J40" s="37">
        <f ca="1">IF(AND(J38=15,J37&gt;48),1,IF(J38=15,MATCH(J37,$A$38:$A$42,-1),IF(AND(J38=20,J37&gt;43),1,IF(J38=20,MATCH(J37,$B$38:$B$42,-1),IF(AND(J38=30,J37&gt;36),1,IF(J38=30,MATCH(J37,$C$38:$C$42,-1),IF(AND(J38=40,J37&gt;31),1,IF(J38=40,MATCH(J37,$D$38:$D$42,-1),IF(AND(J38=50,J37&gt;26),1,IF(J38=50,MATCH(J37,$E$38:$E$42,-1),IF(AND(J38=60,J37&gt;23),1,IF(J38=60,MATCH(J37,$F$38:$F$42,-1)))))))))))))</f>
        <v>5</v>
      </c>
      <c r="L40" s="49" t="s">
        <v>105</v>
      </c>
      <c r="M40" s="37">
        <f ca="1">IF(AND(M38=15,M37&gt;48),1,IF(M38=15,MATCH(M37,$A$38:$A$42,-1),IF(AND(M38=20,M37&gt;43),1,IF(M38=20,MATCH(M37,$B$38:$B$42,-1),IF(AND(M38=30,M37&gt;36),1,IF(M38=30,MATCH(M37,$C$38:$C$42,-1),IF(AND(M38=40,M37&gt;31),1,IF(M38=40,MATCH(M37,$D$38:$D$42,-1),IF(AND(M38=50,M37&gt;26),1,IF(M38=50,MATCH(M37,$E$38:$E$42,-1),IF(AND(M38=60,M37&gt;23),1,IF(M38=60,MATCH(M37,$F$38:$F$42,-1)))))))))))))</f>
        <v>5</v>
      </c>
      <c r="O40" s="49" t="s">
        <v>105</v>
      </c>
      <c r="P40" s="37">
        <f ca="1">IF(AND(P38=15,P37&gt;48),1,IF(P38=15,MATCH(P37,$A$38:$A$42,-1),IF(AND(P38=20,P37&gt;43),1,IF(P38=20,MATCH(P37,$B$38:$B$42,-1),IF(AND(P38=30,P37&gt;36),1,IF(P38=30,MATCH(P37,$C$38:$C$42,-1),IF(AND(P38=40,P37&gt;31),1,IF(P38=40,MATCH(P37,$D$38:$D$42,-1),IF(AND(P38=50,P37&gt;26),1,IF(P38=50,MATCH(P37,$E$38:$E$42,-1),IF(AND(P38=60,P37&gt;23),1,IF(P38=60,MATCH(P37,$F$38:$F$42,-1)))))))))))))</f>
        <v>5</v>
      </c>
      <c r="R40" s="49" t="s">
        <v>105</v>
      </c>
      <c r="S40" s="37">
        <f ca="1">IF(AND(S38=15,S37&gt;48),1,IF(S38=15,MATCH(S37,$A$38:$A$42,-1),IF(AND(S38=20,S37&gt;43),1,IF(S38=20,MATCH(S37,$B$38:$B$42,-1),IF(AND(S38=30,S37&gt;36),1,IF(S38=30,MATCH(S37,$C$38:$C$42,-1),IF(AND(S38=40,S37&gt;31),1,IF(S38=40,MATCH(S37,$D$38:$D$42,-1),IF(AND(S38=50,S37&gt;26),1,IF(S38=50,MATCH(S37,$E$38:$E$42,-1),IF(AND(S38=60,S37&gt;23),1,IF(S38=60,MATCH(S37,$F$38:$F$42,-1)))))))))))))</f>
        <v>5</v>
      </c>
      <c r="U40" s="49" t="s">
        <v>105</v>
      </c>
      <c r="V40" s="37">
        <f ca="1">IF(AND(V38=15,V37&gt;48),1,IF(V38=15,MATCH(V37,$A$38:$A$42,-1),IF(AND(V38=20,V37&gt;43),1,IF(V38=20,MATCH(V37,$B$38:$B$42,-1),IF(AND(V38=30,V37&gt;36),1,IF(V38=30,MATCH(V37,$C$38:$C$42,-1),IF(AND(V38=40,V37&gt;31),1,IF(V38=40,MATCH(V37,$D$38:$D$42,-1),IF(AND(V38=50,V37&gt;26),1,IF(V38=50,MATCH(V37,$E$38:$E$42,-1),IF(AND(V38=60,V37&gt;23),1,IF(V38=60,MATCH(V37,$F$38:$F$42,-1)))))))))))))</f>
        <v>5</v>
      </c>
      <c r="X40" s="49" t="s">
        <v>105</v>
      </c>
      <c r="Y40" s="37">
        <f ca="1">IF(AND(Y38=15,Y37&gt;48),1,IF(Y38=15,MATCH(Y37,$A$38:$A$42,-1),IF(AND(Y38=20,Y37&gt;43),1,IF(Y38=20,MATCH(Y37,$B$38:$B$42,-1),IF(AND(Y38=30,Y37&gt;36),1,IF(Y38=30,MATCH(Y37,$C$38:$C$42,-1),IF(AND(Y38=40,Y37&gt;31),1,IF(Y38=40,MATCH(Y37,$D$38:$D$42,-1),IF(AND(Y38=50,Y37&gt;26),1,IF(Y38=50,MATCH(Y37,$E$38:$E$42,-1),IF(AND(Y38=60,Y37&gt;23),1,IF(Y38=60,MATCH(Y37,$F$38:$F$42,-1)))))))))))))</f>
        <v>5</v>
      </c>
    </row>
    <row r="41" spans="1:25" x14ac:dyDescent="0.3">
      <c r="A41" s="37">
        <v>37</v>
      </c>
      <c r="B41" s="37">
        <v>32</v>
      </c>
      <c r="C41" s="37">
        <v>26</v>
      </c>
      <c r="D41" s="37">
        <v>21</v>
      </c>
      <c r="E41" s="37">
        <v>17</v>
      </c>
      <c r="F41" s="37">
        <v>11</v>
      </c>
      <c r="G41" s="37" t="s">
        <v>111</v>
      </c>
      <c r="I41" s="49" t="s">
        <v>54</v>
      </c>
      <c r="J41" s="37">
        <f ca="1">IFERROR(INDEX($A$38:$G$42,J40,J39),"")</f>
        <v>21</v>
      </c>
      <c r="L41" s="49" t="s">
        <v>54</v>
      </c>
      <c r="M41" s="37">
        <f ca="1">IFERROR(INDEX($A$38:$G$42,M40,M39),"")</f>
        <v>21</v>
      </c>
      <c r="O41" s="49" t="s">
        <v>54</v>
      </c>
      <c r="P41" s="37">
        <f ca="1">IFERROR(INDEX($A$38:$G$42,P40,P39),"")</f>
        <v>21</v>
      </c>
      <c r="R41" s="49" t="s">
        <v>54</v>
      </c>
      <c r="S41" s="37">
        <f ca="1">IFERROR(INDEX($A$38:$G$42,S40,S39),"")</f>
        <v>21</v>
      </c>
      <c r="U41" s="49" t="s">
        <v>54</v>
      </c>
      <c r="V41" s="37">
        <f ca="1">IFERROR(INDEX($A$38:$G$42,V40,V39),"")</f>
        <v>21</v>
      </c>
      <c r="X41" s="49" t="s">
        <v>54</v>
      </c>
      <c r="Y41" s="37">
        <f ca="1">IFERROR(INDEX($A$38:$G$42,Y40,Y39),"")</f>
        <v>21</v>
      </c>
    </row>
    <row r="42" spans="1:25" x14ac:dyDescent="0.3">
      <c r="A42" s="37">
        <v>32</v>
      </c>
      <c r="B42" s="37">
        <v>28</v>
      </c>
      <c r="C42" s="37">
        <v>21</v>
      </c>
      <c r="D42" s="37">
        <v>16</v>
      </c>
      <c r="E42" s="37">
        <v>12</v>
      </c>
      <c r="F42" s="37">
        <v>6</v>
      </c>
      <c r="G42" s="37" t="s">
        <v>96</v>
      </c>
      <c r="I42" s="40" t="s">
        <v>106</v>
      </c>
      <c r="J42" s="38" t="str">
        <f ca="1">IF(J38=15,VLOOKUP(J41,RAhomem15,7,0),IF(J38=20,VLOOKUP(J41,RAhomem20,6,0),IF(J38=30,VLOOKUP(J41,RAhomem30,5,0),IF(J38=40,VLOOKUP(J41,RAhomem40,4,0),IF(J38=50,VLOOKUP(J41,RAhomem50,3,0),IF(J38=60,VLOOKUP(J41,RAhomem60,2,0)))))))</f>
        <v>Fraco</v>
      </c>
      <c r="L42" s="40" t="s">
        <v>106</v>
      </c>
      <c r="M42" s="38" t="str">
        <f ca="1">IF(M38=15,VLOOKUP(M41,RAhomem15,7,0),IF(M38=20,VLOOKUP(M41,RAhomem20,6,0),IF(M38=30,VLOOKUP(M41,RAhomem30,5,0),IF(M38=40,VLOOKUP(M41,RAhomem40,4,0),IF(M38=50,VLOOKUP(M41,RAhomem50,3,0),IF(M38=60,VLOOKUP(M41,RAhomem60,2,0)))))))</f>
        <v>Fraco</v>
      </c>
      <c r="O42" s="40" t="s">
        <v>106</v>
      </c>
      <c r="P42" s="38" t="str">
        <f ca="1">IF(P38=15,VLOOKUP(P41,RAhomem15,7,0),IF(P38=20,VLOOKUP(P41,RAhomem20,6,0),IF(P38=30,VLOOKUP(P41,RAhomem30,5,0),IF(P38=40,VLOOKUP(P41,RAhomem40,4,0),IF(P38=50,VLOOKUP(P41,RAhomem50,3,0),IF(P38=60,VLOOKUP(P41,RAhomem60,2,0)))))))</f>
        <v>Fraco</v>
      </c>
      <c r="R42" s="40" t="s">
        <v>106</v>
      </c>
      <c r="S42" s="38" t="str">
        <f ca="1">IF(S38=15,VLOOKUP(S41,RAhomem15,7,0),IF(S38=20,VLOOKUP(S41,RAhomem20,6,0),IF(S38=30,VLOOKUP(S41,RAhomem30,5,0),IF(S38=40,VLOOKUP(S41,RAhomem40,4,0),IF(S38=50,VLOOKUP(S41,RAhomem50,3,0),IF(S38=60,VLOOKUP(S41,RAhomem60,2,0)))))))</f>
        <v>Fraco</v>
      </c>
      <c r="U42" s="40" t="s">
        <v>106</v>
      </c>
      <c r="V42" s="38" t="str">
        <f ca="1">IF(V38=15,VLOOKUP(V41,RAhomem15,7,0),IF(V38=20,VLOOKUP(V41,RAhomem20,6,0),IF(V38=30,VLOOKUP(V41,RAhomem30,5,0),IF(V38=40,VLOOKUP(V41,RAhomem40,4,0),IF(V38=50,VLOOKUP(V41,RAhomem50,3,0),IF(V38=60,VLOOKUP(V41,RAhomem60,2,0)))))))</f>
        <v>Fraco</v>
      </c>
      <c r="X42" s="40" t="s">
        <v>106</v>
      </c>
      <c r="Y42" s="38" t="str">
        <f ca="1">IF(Y38=15,VLOOKUP(Y41,RAhomem15,7,0),IF(Y38=20,VLOOKUP(Y41,RAhomem20,6,0),IF(Y38=30,VLOOKUP(Y41,RAhomem30,5,0),IF(Y38=40,VLOOKUP(Y41,RAhomem40,4,0),IF(Y38=50,VLOOKUP(Y41,RAhomem50,3,0),IF(Y38=60,VLOOKUP(Y41,RAhomem60,2,0)))))))</f>
        <v>Fraco</v>
      </c>
    </row>
    <row r="44" spans="1:25" x14ac:dyDescent="0.3">
      <c r="A44" s="232" t="s">
        <v>118</v>
      </c>
      <c r="B44" s="232"/>
      <c r="C44" s="232"/>
      <c r="D44" s="232"/>
      <c r="E44" s="232"/>
      <c r="F44" s="232"/>
      <c r="G44" s="232"/>
      <c r="I44" s="49" t="s">
        <v>103</v>
      </c>
      <c r="J44" s="39" t="str">
        <f>IF($J$3="Feminino",HLOOKUP(J4,$A$37:$G$42,1,1),"")</f>
        <v/>
      </c>
      <c r="L44" s="49" t="s">
        <v>103</v>
      </c>
      <c r="M44" s="39" t="str">
        <f>IF($M$3="Feminino",HLOOKUP(M4,$A$37:$G$42,1,1),"")</f>
        <v/>
      </c>
      <c r="O44" s="49" t="s">
        <v>103</v>
      </c>
      <c r="P44" s="39" t="str">
        <f>IF($J$3="Feminino",HLOOKUP(P4,$A$37:$G$42,1,1),"")</f>
        <v/>
      </c>
      <c r="R44" s="49" t="s">
        <v>103</v>
      </c>
      <c r="S44" s="39" t="str">
        <f>IF($S$3="Feminino",HLOOKUP(S4,$A$37:$G$42,1,1),"")</f>
        <v/>
      </c>
      <c r="U44" s="49" t="s">
        <v>103</v>
      </c>
      <c r="V44" s="39" t="str">
        <f>IF($V$3="Feminino",HLOOKUP(V4,$A$37:$G$42,1,1),"")</f>
        <v/>
      </c>
      <c r="X44" s="49" t="s">
        <v>103</v>
      </c>
      <c r="Y44" s="39" t="str">
        <f>IF($J$3="Feminino",HLOOKUP(Y4,$A$37:$G$42,1,1),"")</f>
        <v/>
      </c>
    </row>
    <row r="45" spans="1:25" x14ac:dyDescent="0.3">
      <c r="A45" s="48">
        <v>15</v>
      </c>
      <c r="B45" s="48">
        <v>20</v>
      </c>
      <c r="C45" s="48">
        <v>30</v>
      </c>
      <c r="D45" s="48">
        <v>40</v>
      </c>
      <c r="E45" s="48">
        <v>50</v>
      </c>
      <c r="F45" s="48">
        <v>60</v>
      </c>
      <c r="G45" s="48" t="s">
        <v>3</v>
      </c>
      <c r="I45" s="49" t="s">
        <v>104</v>
      </c>
      <c r="J45" s="37" t="str">
        <f>IFERROR(MATCH(J44,$A$45:$F$45,1),"")</f>
        <v/>
      </c>
      <c r="L45" s="49" t="s">
        <v>104</v>
      </c>
      <c r="M45" s="37" t="str">
        <f>IFERROR(MATCH(M44,$A$45:$F$45,1),"")</f>
        <v/>
      </c>
      <c r="O45" s="49" t="s">
        <v>104</v>
      </c>
      <c r="P45" s="37" t="str">
        <f>IFERROR(MATCH(P44,$A$45:$F$45,1),"")</f>
        <v/>
      </c>
      <c r="R45" s="49" t="s">
        <v>104</v>
      </c>
      <c r="S45" s="37" t="str">
        <f>IFERROR(MATCH(S44,$A$45:$F$45,1),"")</f>
        <v/>
      </c>
      <c r="U45" s="49" t="s">
        <v>104</v>
      </c>
      <c r="V45" s="37" t="str">
        <f>IFERROR(MATCH(V44,$A$45:$F$45,1),"")</f>
        <v/>
      </c>
      <c r="X45" s="49" t="s">
        <v>104</v>
      </c>
      <c r="Y45" s="37" t="str">
        <f>IFERROR(MATCH(Y44,$A$45:$F$45,1),"")</f>
        <v/>
      </c>
    </row>
    <row r="46" spans="1:25" x14ac:dyDescent="0.3">
      <c r="A46" s="35">
        <v>42</v>
      </c>
      <c r="B46" s="35">
        <v>36</v>
      </c>
      <c r="C46" s="35">
        <v>29</v>
      </c>
      <c r="D46" s="35">
        <v>25</v>
      </c>
      <c r="E46" s="35">
        <v>19</v>
      </c>
      <c r="F46" s="35">
        <v>16</v>
      </c>
      <c r="G46" s="35" t="s">
        <v>99</v>
      </c>
      <c r="I46" s="49" t="s">
        <v>105</v>
      </c>
      <c r="J46" s="37" t="b">
        <f>IF(AND(J44=15,J37&gt;42),1,IF(J44=15,MATCH(J37,$A$46:$A$50,-1),IF(AND(J44=20,J37&gt;36),1,IF(J44=20,MATCH(J37,$B$46:$B$50,-1),IF(AND(J44=30,J37&gt;29),1,IF(J44=30,MATCH(J37,$C$46:$C$50,-1),IF(AND(J44=40,J37&gt;25),1,IF(J44=40,MATCH(J37,$D$46:$D$50,-1),IF(AND(J44=50,J37&gt;10),1,IF(J44=50,MATCH(J37,$E$46:$E$50,-1),IF(AND(J44=60,J37&gt;16),1,IF(J44=60,MATCH(J37,$F$46:$F$50,-1)))))))))))))</f>
        <v>0</v>
      </c>
      <c r="L46" s="49" t="s">
        <v>105</v>
      </c>
      <c r="M46" s="37" t="b">
        <f>IF(AND(M44=15,M37&gt;42),1,IF(M44=15,MATCH(M37,$A$46:$A$50,-1),IF(AND(M44=20,M37&gt;36),1,IF(M44=20,MATCH(M37,$B$46:$B$50,-1),IF(AND(M44=30,M37&gt;29),1,IF(M44=30,MATCH(M37,$C$46:$C$50,-1),IF(AND(M44=40,M37&gt;25),1,IF(M44=40,MATCH(M37,$D$46:$D$50,-1),IF(AND(M44=50,M37&gt;10),1,IF(M44=50,MATCH(M37,$E$46:$E$50,-1),IF(AND(M44=60,M37&gt;16),1,IF(M44=60,MATCH(M37,$F$46:$F$50,-1)))))))))))))</f>
        <v>0</v>
      </c>
      <c r="O46" s="49" t="s">
        <v>105</v>
      </c>
      <c r="P46" s="37" t="b">
        <f>IF(AND(P44=15,P37&gt;42),1,IF(P44=15,MATCH(P37,$A$46:$A$50,-1),IF(AND(P44=20,P37&gt;36),1,IF(P44=20,MATCH(P37,$B$46:$B$50,-1),IF(AND(P44=30,P37&gt;29),1,IF(P44=30,MATCH(P37,$C$46:$C$50,-1),IF(AND(P44=40,P37&gt;25),1,IF(P44=40,MATCH(P37,$D$46:$D$50,-1),IF(AND(P44=50,P37&gt;10),1,IF(P44=50,MATCH(P37,$E$46:$E$50,-1),IF(AND(P44=60,P37&gt;16),1,IF(P44=60,MATCH(P37,$F$46:$F$50,-1)))))))))))))</f>
        <v>0</v>
      </c>
      <c r="R46" s="49" t="s">
        <v>105</v>
      </c>
      <c r="S46" s="37" t="b">
        <f>IF(AND(S44=15,S37&gt;42),1,IF(S44=15,MATCH(S37,$A$46:$A$50,-1),IF(AND(S44=20,S37&gt;36),1,IF(S44=20,MATCH(S37,$B$46:$B$50,-1),IF(AND(S44=30,S37&gt;29),1,IF(S44=30,MATCH(S37,$C$46:$C$50,-1),IF(AND(S44=40,S37&gt;25),1,IF(S44=40,MATCH(S37,$D$46:$D$50,-1),IF(AND(S44=50,S37&gt;10),1,IF(S44=50,MATCH(S37,$E$46:$E$50,-1),IF(AND(S44=60,S37&gt;16),1,IF(S44=60,MATCH(S37,$F$46:$F$50,-1)))))))))))))</f>
        <v>0</v>
      </c>
      <c r="U46" s="49" t="s">
        <v>105</v>
      </c>
      <c r="V46" s="37" t="b">
        <f>IF(AND(V44=15,V37&gt;42),1,IF(V44=15,MATCH(V37,$A$46:$A$50,-1),IF(AND(V44=20,V37&gt;36),1,IF(V44=20,MATCH(V37,$B$46:$B$50,-1),IF(AND(V44=30,V37&gt;29),1,IF(V44=30,MATCH(V37,$C$46:$C$50,-1),IF(AND(V44=40,V37&gt;25),1,IF(V44=40,MATCH(V37,$D$46:$D$50,-1),IF(AND(V44=50,V37&gt;10),1,IF(V44=50,MATCH(V37,$E$46:$E$50,-1),IF(AND(V44=60,V37&gt;16),1,IF(V44=60,MATCH(V37,$F$46:$F$50,-1)))))))))))))</f>
        <v>0</v>
      </c>
      <c r="X46" s="49" t="s">
        <v>105</v>
      </c>
      <c r="Y46" s="37" t="b">
        <f>IF(AND(Y44=15,Y37&gt;42),1,IF(Y44=15,MATCH(Y37,$A$46:$A$50,-1),IF(AND(Y44=20,Y37&gt;36),1,IF(Y44=20,MATCH(Y37,$B$46:$B$50,-1),IF(AND(Y44=30,Y37&gt;29),1,IF(Y44=30,MATCH(Y37,$C$46:$C$50,-1),IF(AND(Y44=40,Y37&gt;25),1,IF(Y44=40,MATCH(Y37,$D$46:$D$50,-1),IF(AND(Y44=50,Y37&gt;10),1,IF(Y44=50,MATCH(Y37,$E$46:$E$50,-1),IF(AND(Y44=60,Y37&gt;16),1,IF(Y44=60,MATCH(Y37,$F$46:$F$50,-1)))))))))))))</f>
        <v>0</v>
      </c>
    </row>
    <row r="47" spans="1:25" x14ac:dyDescent="0.3">
      <c r="A47" s="35">
        <v>41</v>
      </c>
      <c r="B47" s="35">
        <v>35</v>
      </c>
      <c r="C47" s="35">
        <v>28</v>
      </c>
      <c r="D47" s="35">
        <v>24</v>
      </c>
      <c r="E47" s="35">
        <v>18</v>
      </c>
      <c r="F47" s="35">
        <v>15</v>
      </c>
      <c r="G47" s="35" t="s">
        <v>109</v>
      </c>
      <c r="I47" s="49" t="s">
        <v>54</v>
      </c>
      <c r="J47" s="37" t="str">
        <f>IFERROR(INDEX($A$46:$G$50,J46,J45),"")</f>
        <v/>
      </c>
      <c r="L47" s="49" t="s">
        <v>54</v>
      </c>
      <c r="M47" s="37" t="str">
        <f>IFERROR(INDEX($A$46:$G$50,M46,M45),"")</f>
        <v/>
      </c>
      <c r="O47" s="49" t="s">
        <v>54</v>
      </c>
      <c r="P47" s="37" t="str">
        <f>IFERROR(INDEX($A$46:$G$50,P46,P45),"")</f>
        <v/>
      </c>
      <c r="R47" s="49" t="s">
        <v>54</v>
      </c>
      <c r="S47" s="37" t="str">
        <f>IFERROR(INDEX($A$46:$G$50,S46,S45),"")</f>
        <v/>
      </c>
      <c r="U47" s="49" t="s">
        <v>54</v>
      </c>
      <c r="V47" s="37" t="str">
        <f>IFERROR(INDEX($A$46:$G$50,V46,V45),"")</f>
        <v/>
      </c>
      <c r="X47" s="49" t="s">
        <v>54</v>
      </c>
      <c r="Y47" s="37" t="str">
        <f>IFERROR(INDEX($A$46:$G$50,Y46,Y45),"")</f>
        <v/>
      </c>
    </row>
    <row r="48" spans="1:25" x14ac:dyDescent="0.3">
      <c r="A48" s="35">
        <v>35</v>
      </c>
      <c r="B48" s="35">
        <v>30</v>
      </c>
      <c r="C48" s="35">
        <v>23</v>
      </c>
      <c r="D48" s="35">
        <v>19</v>
      </c>
      <c r="E48" s="35">
        <v>11</v>
      </c>
      <c r="F48" s="35">
        <v>11</v>
      </c>
      <c r="G48" s="35" t="s">
        <v>110</v>
      </c>
      <c r="I48" s="40" t="s">
        <v>106</v>
      </c>
      <c r="J48" s="38" t="b">
        <f>IF(J44=15,VLOOKUP(J47,RAmulher15,7,0),IF(J44=20,VLOOKUP(J47,RAmulher20,6,0),IF(J44=30,VLOOKUP(J47,RAmulher30,5,0),IF(J44=40,VLOOKUP(J47,RAmulher40,4,0),IF(J44=50,VLOOKUP(J47,RAmulher50,3,0),IF(J44=60,VLOOKUP(J47,RAmulher60,2,0)))))))</f>
        <v>0</v>
      </c>
      <c r="L48" s="40" t="s">
        <v>106</v>
      </c>
      <c r="M48" s="38" t="b">
        <f>IF(M44=15,VLOOKUP(M47,RAmulher15,7,0),IF(M44=20,VLOOKUP(M47,RAmulher20,6,0),IF(M44=30,VLOOKUP(M47,RAmulher30,5,0),IF(M44=40,VLOOKUP(M47,RAmulher40,4,0),IF(M44=50,VLOOKUP(M47,RAmulher50,3,0),IF(M44=60,VLOOKUP(M47,RAmulher60,2,0)))))))</f>
        <v>0</v>
      </c>
      <c r="O48" s="40" t="s">
        <v>106</v>
      </c>
      <c r="P48" s="38" t="b">
        <f>IF(P44=15,VLOOKUP(P47,RAmulher15,7,0),IF(P44=20,VLOOKUP(P47,RAmulher20,6,0),IF(P44=30,VLOOKUP(P47,RAmulher30,5,0),IF(P44=40,VLOOKUP(P47,RAmulher40,4,0),IF(P44=50,VLOOKUP(P47,RAmulher50,3,0),IF(P44=60,VLOOKUP(P47,RAmulher60,2,0)))))))</f>
        <v>0</v>
      </c>
      <c r="R48" s="40" t="s">
        <v>106</v>
      </c>
      <c r="S48" s="38" t="b">
        <f>IF(S44=15,VLOOKUP(S47,RAmulher15,7,0),IF(S44=20,VLOOKUP(S47,RAmulher20,6,0),IF(S44=30,VLOOKUP(S47,RAmulher30,5,0),IF(S44=40,VLOOKUP(S47,RAmulher40,4,0),IF(S44=50,VLOOKUP(S47,RAmulher50,3,0),IF(S44=60,VLOOKUP(S47,RAmulher60,2,0)))))))</f>
        <v>0</v>
      </c>
      <c r="U48" s="40" t="s">
        <v>106</v>
      </c>
      <c r="V48" s="38" t="b">
        <f>IF(V44=15,VLOOKUP(V47,RAmulher15,7,0),IF(V44=20,VLOOKUP(V47,RAmulher20,6,0),IF(V44=30,VLOOKUP(V47,RAmulher30,5,0),IF(V44=40,VLOOKUP(V47,RAmulher40,4,0),IF(V44=50,VLOOKUP(V47,RAmulher50,3,0),IF(V44=60,VLOOKUP(V47,RAmulher60,2,0)))))))</f>
        <v>0</v>
      </c>
      <c r="X48" s="40" t="s">
        <v>106</v>
      </c>
      <c r="Y48" s="38" t="b">
        <f>IF(Y44=15,VLOOKUP(Y47,RAmulher15,7,0),IF(Y44=20,VLOOKUP(Y47,RAmulher20,6,0),IF(Y44=30,VLOOKUP(Y47,RAmulher30,5,0),IF(Y44=40,VLOOKUP(Y47,RAmulher40,4,0),IF(Y44=50,VLOOKUP(Y47,RAmulher50,3,0),IF(Y44=60,VLOOKUP(Y47,RAmulher60,2,0)))))))</f>
        <v>0</v>
      </c>
    </row>
    <row r="49" spans="1:7" x14ac:dyDescent="0.3">
      <c r="A49" s="35">
        <v>31</v>
      </c>
      <c r="B49" s="35">
        <v>24</v>
      </c>
      <c r="C49" s="35">
        <v>19</v>
      </c>
      <c r="D49" s="35">
        <v>14</v>
      </c>
      <c r="E49" s="35">
        <v>4</v>
      </c>
      <c r="F49" s="35">
        <v>3</v>
      </c>
      <c r="G49" s="35" t="s">
        <v>111</v>
      </c>
    </row>
    <row r="50" spans="1:7" x14ac:dyDescent="0.3">
      <c r="A50" s="35">
        <v>26</v>
      </c>
      <c r="B50" s="35">
        <v>20</v>
      </c>
      <c r="C50" s="35">
        <v>14</v>
      </c>
      <c r="D50" s="35">
        <v>6</v>
      </c>
      <c r="E50" s="35">
        <v>2</v>
      </c>
      <c r="F50" s="35">
        <v>1</v>
      </c>
      <c r="G50" s="35" t="s">
        <v>96</v>
      </c>
    </row>
    <row r="52" spans="1:7" x14ac:dyDescent="0.3">
      <c r="A52" s="140" t="s">
        <v>187</v>
      </c>
      <c r="B52" s="140"/>
      <c r="C52" s="141"/>
      <c r="D52" s="141"/>
      <c r="E52" s="141"/>
      <c r="F52" s="141"/>
      <c r="G52" s="141"/>
    </row>
    <row r="53" spans="1:7" x14ac:dyDescent="0.3">
      <c r="A53" s="232" t="s">
        <v>181</v>
      </c>
      <c r="B53" s="232"/>
    </row>
    <row r="54" spans="1:7" x14ac:dyDescent="0.3">
      <c r="A54" s="35">
        <v>0</v>
      </c>
      <c r="B54" t="s">
        <v>182</v>
      </c>
    </row>
    <row r="55" spans="1:7" x14ac:dyDescent="0.3">
      <c r="A55" s="35">
        <v>21</v>
      </c>
      <c r="B55" t="s">
        <v>170</v>
      </c>
    </row>
    <row r="56" spans="1:7" x14ac:dyDescent="0.3">
      <c r="A56" s="35">
        <v>31</v>
      </c>
      <c r="B56" t="s">
        <v>183</v>
      </c>
    </row>
    <row r="57" spans="1:7" x14ac:dyDescent="0.3">
      <c r="A57" s="35">
        <v>41</v>
      </c>
      <c r="B57" t="s">
        <v>184</v>
      </c>
    </row>
    <row r="58" spans="1:7" x14ac:dyDescent="0.3">
      <c r="A58" s="35">
        <v>51</v>
      </c>
      <c r="B58" t="s">
        <v>185</v>
      </c>
    </row>
    <row r="59" spans="1:7" x14ac:dyDescent="0.3">
      <c r="A59" s="35">
        <v>60</v>
      </c>
      <c r="B59" t="s">
        <v>186</v>
      </c>
    </row>
  </sheetData>
  <mergeCells count="14">
    <mergeCell ref="X1:Y1"/>
    <mergeCell ref="A28:G28"/>
    <mergeCell ref="A36:G36"/>
    <mergeCell ref="A44:G44"/>
    <mergeCell ref="I1:J1"/>
    <mergeCell ref="A2:G2"/>
    <mergeCell ref="A11:G11"/>
    <mergeCell ref="A1:G1"/>
    <mergeCell ref="A20:G20"/>
    <mergeCell ref="A53:B53"/>
    <mergeCell ref="L1:M1"/>
    <mergeCell ref="O1:P1"/>
    <mergeCell ref="R1:S1"/>
    <mergeCell ref="U1:V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4">
    <pageSetUpPr fitToPage="1"/>
  </sheetPr>
  <dimension ref="B1:X56"/>
  <sheetViews>
    <sheetView showGridLines="0" zoomScale="90" zoomScaleNormal="90" workbookViewId="0">
      <selection activeCell="C2" sqref="C2:D2"/>
    </sheetView>
  </sheetViews>
  <sheetFormatPr defaultColWidth="9.109375" defaultRowHeight="14.4" x14ac:dyDescent="0.3"/>
  <cols>
    <col min="1" max="1" width="3.33203125" style="55" customWidth="1"/>
    <col min="2" max="2" width="20.44140625" style="55" customWidth="1"/>
    <col min="3" max="3" width="10" style="55" customWidth="1"/>
    <col min="4" max="4" width="9.109375" style="55"/>
    <col min="5" max="5" width="10.5546875" style="55" customWidth="1"/>
    <col min="6" max="6" width="9.109375" style="55"/>
    <col min="7" max="7" width="9.5546875" style="55" bestFit="1" customWidth="1"/>
    <col min="8" max="8" width="15.109375" style="55" customWidth="1"/>
    <col min="9" max="9" width="5.77734375" style="55" customWidth="1"/>
    <col min="10" max="10" width="1.6640625" style="55" customWidth="1"/>
    <col min="11" max="11" width="2.33203125" style="55" customWidth="1"/>
    <col min="12" max="12" width="12.33203125" style="55" customWidth="1"/>
    <col min="13" max="13" width="9.44140625" style="55" customWidth="1"/>
    <col min="14" max="14" width="1.44140625" style="55" customWidth="1"/>
    <col min="15" max="15" width="11" style="55" customWidth="1"/>
    <col min="16" max="18" width="9.109375" style="55"/>
    <col min="19" max="19" width="1.88671875" style="55" customWidth="1"/>
    <col min="20" max="20" width="1.5546875" style="55" customWidth="1"/>
    <col min="21" max="21" width="2.6640625" style="55" customWidth="1"/>
    <col min="22" max="22" width="21.44140625" style="55" customWidth="1"/>
    <col min="23" max="23" width="9.109375" style="55"/>
    <col min="24" max="24" width="2.109375" style="55" customWidth="1"/>
    <col min="25" max="16384" width="9.109375" style="55"/>
  </cols>
  <sheetData>
    <row r="1" spans="2:24" ht="57" customHeight="1" x14ac:dyDescent="0.3"/>
    <row r="2" spans="2:24" ht="25.8" x14ac:dyDescent="0.3">
      <c r="B2" s="152" t="s">
        <v>223</v>
      </c>
      <c r="C2" s="251"/>
      <c r="D2" s="251"/>
      <c r="E2" s="250" t="s">
        <v>216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4" spans="2:24" ht="18.600000000000001" thickBot="1" x14ac:dyDescent="0.4">
      <c r="B4" s="249" t="s">
        <v>222</v>
      </c>
      <c r="C4" s="249"/>
      <c r="D4" s="249"/>
      <c r="E4" s="56"/>
      <c r="F4" s="56"/>
      <c r="G4" s="56"/>
      <c r="H4" s="56"/>
      <c r="I4" s="56"/>
      <c r="J4" s="56"/>
      <c r="K4" s="56"/>
      <c r="L4" s="56"/>
      <c r="M4" s="56"/>
      <c r="Q4" s="56"/>
      <c r="R4" s="56"/>
      <c r="S4" s="56"/>
      <c r="T4" s="56"/>
      <c r="U4" s="56"/>
      <c r="V4" s="56"/>
      <c r="W4" s="56"/>
      <c r="X4" s="56"/>
    </row>
    <row r="5" spans="2:24" ht="15" thickTop="1" x14ac:dyDescent="0.3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X5" s="154"/>
    </row>
    <row r="6" spans="2:24" x14ac:dyDescent="0.3">
      <c r="B6" s="60" t="s">
        <v>59</v>
      </c>
      <c r="C6" s="156"/>
      <c r="E6" s="254" t="s">
        <v>227</v>
      </c>
      <c r="F6" s="254"/>
      <c r="G6" s="253" t="str">
        <f>IFERROR(C6/(C8*C8),"")</f>
        <v/>
      </c>
      <c r="H6" s="253"/>
      <c r="I6" s="253"/>
      <c r="L6" s="252" t="str">
        <f>IF(G6="","",IF(G6&lt;17,"Muito Abaixo do Peso",IF(AND(G6&gt;17,G6&lt;18.49),"Abaixo do Peso",IF(AND(G6&gt;18.5,G6&lt;24.99),"Peso Normal",IF(AND(G6&gt;25,G6&lt;29.99),"Sobrepeso",IF(AND(G6&gt;30,G6&lt;34.99),"Obesidade Grau 1",IF(AND(G6&gt;35,G6&lt;39.99),"Obesidade Grau 2",IF(G6&gt;40,"Obesidade Grau 3"))))))))</f>
        <v/>
      </c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155"/>
    </row>
    <row r="7" spans="2:24" x14ac:dyDescent="0.3">
      <c r="B7" s="60"/>
      <c r="C7" s="63"/>
      <c r="E7" s="254"/>
      <c r="F7" s="254"/>
      <c r="G7" s="253"/>
      <c r="H7" s="253"/>
      <c r="I7" s="253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155"/>
    </row>
    <row r="8" spans="2:24" x14ac:dyDescent="0.3">
      <c r="B8" s="60" t="s">
        <v>58</v>
      </c>
      <c r="C8" s="157"/>
      <c r="E8" s="254"/>
      <c r="F8" s="254"/>
      <c r="G8" s="253"/>
      <c r="H8" s="253"/>
      <c r="I8" s="253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155"/>
    </row>
    <row r="9" spans="2:24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153"/>
    </row>
    <row r="11" spans="2:24" ht="18.600000000000001" thickBot="1" x14ac:dyDescent="0.35">
      <c r="B11" s="245" t="s">
        <v>231</v>
      </c>
      <c r="C11" s="245"/>
      <c r="D11" s="245"/>
      <c r="E11" s="56"/>
      <c r="F11" s="56"/>
      <c r="G11" s="56"/>
      <c r="H11" s="56"/>
      <c r="I11" s="56"/>
      <c r="K11" s="245" t="s">
        <v>230</v>
      </c>
      <c r="L11" s="245"/>
      <c r="M11" s="245"/>
      <c r="N11" s="245"/>
      <c r="O11" s="245"/>
      <c r="P11" s="56"/>
      <c r="Q11" s="56"/>
      <c r="R11" s="56"/>
      <c r="S11" s="56"/>
      <c r="U11" s="245" t="s">
        <v>229</v>
      </c>
      <c r="V11" s="245"/>
      <c r="W11" s="245"/>
      <c r="X11" s="56"/>
    </row>
    <row r="12" spans="2:24" ht="15" thickTop="1" x14ac:dyDescent="0.3">
      <c r="B12" s="68"/>
      <c r="C12" s="243"/>
      <c r="D12" s="243"/>
      <c r="E12" s="243"/>
      <c r="F12" s="58"/>
      <c r="G12" s="58"/>
      <c r="H12" s="58"/>
      <c r="I12" s="69"/>
      <c r="K12" s="70"/>
      <c r="S12" s="71"/>
      <c r="U12" s="89"/>
      <c r="V12" s="58"/>
      <c r="W12" s="58"/>
      <c r="X12" s="90"/>
    </row>
    <row r="13" spans="2:24" x14ac:dyDescent="0.3">
      <c r="B13" s="72"/>
      <c r="I13" s="73"/>
      <c r="K13" s="70"/>
      <c r="M13" s="134" t="s">
        <v>165</v>
      </c>
      <c r="O13" s="134" t="s">
        <v>166</v>
      </c>
      <c r="S13" s="71"/>
      <c r="U13" s="70"/>
      <c r="X13" s="71"/>
    </row>
    <row r="14" spans="2:24" ht="5.0999999999999996" customHeight="1" x14ac:dyDescent="0.3">
      <c r="B14" s="72"/>
      <c r="I14" s="73"/>
      <c r="K14" s="70"/>
      <c r="S14" s="71"/>
      <c r="U14" s="70"/>
      <c r="X14" s="71"/>
    </row>
    <row r="15" spans="2:24" x14ac:dyDescent="0.3">
      <c r="B15" s="74" t="s">
        <v>61</v>
      </c>
      <c r="C15" s="61"/>
      <c r="I15" s="73"/>
      <c r="K15" s="70"/>
      <c r="L15" s="75" t="s">
        <v>22</v>
      </c>
      <c r="M15" s="61"/>
      <c r="N15" s="76"/>
      <c r="O15" s="76"/>
      <c r="S15" s="71"/>
      <c r="U15" s="70"/>
      <c r="V15" s="55" t="s">
        <v>224</v>
      </c>
      <c r="W15" s="61"/>
      <c r="X15" s="71"/>
    </row>
    <row r="16" spans="2:24" customFormat="1" ht="3.9" customHeight="1" x14ac:dyDescent="0.3">
      <c r="B16" s="85"/>
      <c r="C16" s="86"/>
      <c r="I16" s="87"/>
      <c r="K16" s="15"/>
      <c r="L16" s="14"/>
      <c r="M16" s="86"/>
      <c r="N16" s="86"/>
      <c r="O16" s="86"/>
      <c r="S16" s="16"/>
      <c r="U16" s="70"/>
      <c r="V16" s="55"/>
      <c r="W16" s="86"/>
      <c r="X16" s="16"/>
    </row>
    <row r="17" spans="2:24" x14ac:dyDescent="0.3">
      <c r="B17" s="74" t="s">
        <v>62</v>
      </c>
      <c r="C17" s="61"/>
      <c r="I17" s="73"/>
      <c r="K17" s="70"/>
      <c r="L17" s="75" t="s">
        <v>24</v>
      </c>
      <c r="M17" s="61"/>
      <c r="N17" s="76"/>
      <c r="O17" s="76"/>
      <c r="S17" s="71"/>
      <c r="U17" s="70"/>
      <c r="V17" s="55" t="s">
        <v>225</v>
      </c>
      <c r="W17" s="61"/>
      <c r="X17" s="71"/>
    </row>
    <row r="18" spans="2:24" customFormat="1" ht="3.9" customHeight="1" x14ac:dyDescent="0.3">
      <c r="B18" s="85"/>
      <c r="C18" s="86"/>
      <c r="I18" s="87"/>
      <c r="K18" s="15"/>
      <c r="L18" s="14"/>
      <c r="M18" s="86"/>
      <c r="N18" s="86"/>
      <c r="O18" s="86"/>
      <c r="S18" s="16"/>
      <c r="U18" s="70"/>
      <c r="V18" s="55"/>
      <c r="W18" s="86"/>
      <c r="X18" s="16"/>
    </row>
    <row r="19" spans="2:24" x14ac:dyDescent="0.3">
      <c r="B19" s="74" t="s">
        <v>63</v>
      </c>
      <c r="C19" s="61"/>
      <c r="I19" s="73"/>
      <c r="K19" s="70"/>
      <c r="L19" s="75" t="s">
        <v>26</v>
      </c>
      <c r="M19" s="61"/>
      <c r="N19" s="76"/>
      <c r="O19" s="76"/>
      <c r="S19" s="71"/>
      <c r="U19" s="70"/>
      <c r="V19" s="55" t="s">
        <v>226</v>
      </c>
      <c r="W19" s="61"/>
      <c r="X19" s="71"/>
    </row>
    <row r="20" spans="2:24" customFormat="1" ht="3.9" customHeight="1" x14ac:dyDescent="0.3">
      <c r="B20" s="85"/>
      <c r="C20" s="86"/>
      <c r="I20" s="87"/>
      <c r="K20" s="15"/>
      <c r="L20" s="14"/>
      <c r="M20" s="86"/>
      <c r="N20" s="86"/>
      <c r="O20" s="86"/>
      <c r="S20" s="16"/>
      <c r="U20" s="70"/>
      <c r="V20" s="55"/>
      <c r="W20" s="86"/>
      <c r="X20" s="16"/>
    </row>
    <row r="21" spans="2:24" x14ac:dyDescent="0.3">
      <c r="B21" s="74" t="s">
        <v>64</v>
      </c>
      <c r="C21" s="61"/>
      <c r="I21" s="73"/>
      <c r="K21" s="70"/>
      <c r="L21" s="75" t="s">
        <v>28</v>
      </c>
      <c r="M21" s="61"/>
      <c r="N21" s="76"/>
      <c r="O21" s="76"/>
      <c r="S21" s="71"/>
      <c r="U21" s="70"/>
      <c r="X21" s="71"/>
    </row>
    <row r="22" spans="2:24" customFormat="1" ht="3.9" customHeight="1" x14ac:dyDescent="0.3">
      <c r="B22" s="85"/>
      <c r="C22" s="86"/>
      <c r="I22" s="87"/>
      <c r="K22" s="15"/>
      <c r="L22" s="14"/>
      <c r="M22" s="86"/>
      <c r="N22" s="86"/>
      <c r="O22" s="86"/>
      <c r="S22" s="16"/>
      <c r="U22" s="70"/>
      <c r="V22" s="55"/>
      <c r="W22" s="55"/>
      <c r="X22" s="71"/>
    </row>
    <row r="23" spans="2:24" x14ac:dyDescent="0.3">
      <c r="B23" s="74" t="s">
        <v>65</v>
      </c>
      <c r="C23" s="61"/>
      <c r="I23" s="73"/>
      <c r="K23" s="70"/>
      <c r="L23" s="75" t="s">
        <v>30</v>
      </c>
      <c r="M23" s="61"/>
      <c r="N23" s="76"/>
      <c r="O23" s="76"/>
      <c r="S23" s="71"/>
      <c r="U23" s="70"/>
      <c r="X23" s="71"/>
    </row>
    <row r="24" spans="2:24" customFormat="1" ht="3.9" customHeight="1" x14ac:dyDescent="0.3">
      <c r="B24" s="85"/>
      <c r="C24" s="86"/>
      <c r="I24" s="87"/>
      <c r="K24" s="15"/>
      <c r="L24" s="14"/>
      <c r="M24" s="86"/>
      <c r="N24" s="86"/>
      <c r="O24" s="86"/>
      <c r="S24" s="16"/>
      <c r="U24" s="15"/>
      <c r="X24" s="16"/>
    </row>
    <row r="25" spans="2:24" x14ac:dyDescent="0.3">
      <c r="B25" s="74" t="s">
        <v>66</v>
      </c>
      <c r="C25" s="61"/>
      <c r="I25" s="73"/>
      <c r="K25" s="70"/>
      <c r="L25" s="75" t="s">
        <v>23</v>
      </c>
      <c r="M25" s="61"/>
      <c r="N25" s="76"/>
      <c r="O25" s="61"/>
      <c r="S25" s="71"/>
      <c r="U25" s="70"/>
      <c r="V25" s="75"/>
      <c r="W25" s="76"/>
      <c r="X25" s="71"/>
    </row>
    <row r="26" spans="2:24" customFormat="1" ht="3.9" customHeight="1" x14ac:dyDescent="0.3">
      <c r="B26" s="85"/>
      <c r="C26" s="86"/>
      <c r="I26" s="87"/>
      <c r="K26" s="15"/>
      <c r="L26" s="14"/>
      <c r="M26" s="86"/>
      <c r="N26" s="86"/>
      <c r="O26" s="86"/>
      <c r="S26" s="16"/>
      <c r="U26" s="15"/>
      <c r="V26" s="14"/>
      <c r="W26" s="86"/>
      <c r="X26" s="16"/>
    </row>
    <row r="27" spans="2:24" x14ac:dyDescent="0.3">
      <c r="B27" s="74" t="s">
        <v>67</v>
      </c>
      <c r="C27" s="61"/>
      <c r="I27" s="73"/>
      <c r="K27" s="70"/>
      <c r="L27" s="75" t="s">
        <v>25</v>
      </c>
      <c r="M27" s="61"/>
      <c r="N27" s="76"/>
      <c r="O27" s="61"/>
      <c r="S27" s="71"/>
      <c r="U27" s="70"/>
      <c r="V27" s="75"/>
      <c r="W27" s="76"/>
      <c r="X27" s="71"/>
    </row>
    <row r="28" spans="2:24" customFormat="1" ht="3.9" customHeight="1" x14ac:dyDescent="0.3">
      <c r="B28" s="85"/>
      <c r="C28" s="86"/>
      <c r="I28" s="87"/>
      <c r="K28" s="15"/>
      <c r="L28" s="14"/>
      <c r="M28" s="86"/>
      <c r="N28" s="86"/>
      <c r="O28" s="86"/>
      <c r="S28" s="16"/>
      <c r="U28" s="15"/>
      <c r="V28" s="14"/>
      <c r="W28" s="86"/>
      <c r="X28" s="16"/>
    </row>
    <row r="29" spans="2:24" x14ac:dyDescent="0.3">
      <c r="B29" s="74" t="s">
        <v>68</v>
      </c>
      <c r="C29" s="61"/>
      <c r="I29" s="73"/>
      <c r="K29" s="70"/>
      <c r="L29" s="75" t="s">
        <v>27</v>
      </c>
      <c r="M29" s="61"/>
      <c r="N29" s="76"/>
      <c r="O29" s="61"/>
      <c r="S29" s="71"/>
      <c r="U29" s="70"/>
      <c r="V29" s="75"/>
      <c r="W29" s="76"/>
      <c r="X29" s="71"/>
    </row>
    <row r="30" spans="2:24" customFormat="1" ht="3.9" customHeight="1" x14ac:dyDescent="0.3">
      <c r="B30" s="85"/>
      <c r="C30" s="86"/>
      <c r="I30" s="87"/>
      <c r="K30" s="15"/>
      <c r="L30" s="14"/>
      <c r="M30" s="86"/>
      <c r="N30" s="86"/>
      <c r="O30" s="86"/>
      <c r="S30" s="16"/>
      <c r="U30" s="15"/>
      <c r="V30" s="14"/>
      <c r="W30" s="86"/>
      <c r="X30" s="16"/>
    </row>
    <row r="31" spans="2:24" x14ac:dyDescent="0.3">
      <c r="B31" s="74" t="s">
        <v>69</v>
      </c>
      <c r="C31" s="61"/>
      <c r="I31" s="73"/>
      <c r="K31" s="70"/>
      <c r="L31" s="75" t="s">
        <v>29</v>
      </c>
      <c r="M31" s="61"/>
      <c r="N31" s="76"/>
      <c r="O31" s="61"/>
      <c r="S31" s="71"/>
      <c r="U31" s="70"/>
      <c r="X31" s="71"/>
    </row>
    <row r="32" spans="2:24" customFormat="1" ht="3.9" customHeight="1" x14ac:dyDescent="0.3">
      <c r="B32" s="88"/>
      <c r="C32" s="86"/>
      <c r="I32" s="87"/>
      <c r="K32" s="15"/>
      <c r="S32" s="16"/>
      <c r="U32" s="15"/>
      <c r="X32" s="16"/>
    </row>
    <row r="33" spans="2:24" x14ac:dyDescent="0.3">
      <c r="B33" s="74" t="s">
        <v>70</v>
      </c>
      <c r="C33" s="158">
        <f>SUM(C15,C17,C19,C21,C23,C25,C27,C29,C31,)</f>
        <v>0</v>
      </c>
      <c r="I33" s="73"/>
      <c r="K33" s="70"/>
      <c r="M33" s="76"/>
      <c r="S33" s="71"/>
      <c r="U33" s="70"/>
      <c r="X33" s="71"/>
    </row>
    <row r="34" spans="2:24" x14ac:dyDescent="0.3">
      <c r="B34" s="74"/>
      <c r="C34" s="76"/>
      <c r="I34" s="73"/>
      <c r="K34" s="70"/>
      <c r="L34" s="75" t="s">
        <v>167</v>
      </c>
      <c r="M34" s="64" t="str">
        <f>IF(M23="","",M19/M23)</f>
        <v/>
      </c>
      <c r="N34" s="240" t="s">
        <v>168</v>
      </c>
      <c r="O34" s="241"/>
      <c r="P34" s="237" t="str">
        <f ca="1">IF('Dados do Aluno'!E8="Feminino",Apoio2!E50,Apoio2!F50)</f>
        <v/>
      </c>
      <c r="Q34" s="238"/>
      <c r="R34" s="239"/>
      <c r="S34" s="71"/>
      <c r="U34" s="70"/>
      <c r="X34" s="71"/>
    </row>
    <row r="35" spans="2:24" ht="9.75" customHeight="1" x14ac:dyDescent="0.3">
      <c r="B35" s="77"/>
      <c r="C35" s="78"/>
      <c r="D35" s="78"/>
      <c r="E35" s="78"/>
      <c r="F35" s="78"/>
      <c r="G35" s="78"/>
      <c r="H35" s="78"/>
      <c r="I35" s="79"/>
      <c r="K35" s="80"/>
      <c r="L35" s="81"/>
      <c r="M35" s="81"/>
      <c r="N35" s="81"/>
      <c r="O35" s="81"/>
      <c r="P35" s="81"/>
      <c r="Q35" s="81"/>
      <c r="R35" s="81"/>
      <c r="S35" s="82"/>
      <c r="U35" s="80"/>
      <c r="V35" s="81"/>
      <c r="W35" s="81"/>
      <c r="X35" s="82"/>
    </row>
    <row r="36" spans="2:24" ht="21" hidden="1" customHeight="1" x14ac:dyDescent="0.3"/>
    <row r="37" spans="2:24" ht="7.8" customHeight="1" x14ac:dyDescent="0.3"/>
    <row r="38" spans="2:24" ht="21.75" customHeight="1" thickBot="1" x14ac:dyDescent="0.35">
      <c r="B38" s="245" t="s">
        <v>156</v>
      </c>
      <c r="C38" s="245"/>
      <c r="D38" s="245"/>
      <c r="E38" s="56"/>
      <c r="F38" s="56"/>
      <c r="G38" s="56"/>
      <c r="H38" s="56"/>
      <c r="I38" s="56"/>
    </row>
    <row r="39" spans="2:24" ht="21.75" customHeight="1" thickTop="1" x14ac:dyDescent="0.3">
      <c r="B39" s="57"/>
      <c r="C39" s="58"/>
      <c r="D39" s="58"/>
      <c r="E39" s="58"/>
      <c r="F39" s="58"/>
      <c r="G39" s="58"/>
      <c r="H39" s="58"/>
      <c r="I39" s="59"/>
    </row>
    <row r="40" spans="2:24" x14ac:dyDescent="0.3">
      <c r="B40" s="244" t="s">
        <v>135</v>
      </c>
      <c r="C40" s="242"/>
      <c r="D40" s="246"/>
      <c r="E40" s="247"/>
      <c r="F40" s="247"/>
      <c r="G40" s="247"/>
      <c r="H40" s="248"/>
      <c r="I40" s="62"/>
    </row>
    <row r="41" spans="2:24" x14ac:dyDescent="0.3">
      <c r="B41" s="94"/>
      <c r="I41" s="62"/>
    </row>
    <row r="42" spans="2:24" x14ac:dyDescent="0.3">
      <c r="B42" s="60" t="s">
        <v>136</v>
      </c>
      <c r="C42" s="83" t="str">
        <f>IF(D40="","",IFERROR(IF('Dados do Aluno'!E8="Masculino",VLOOKUP('Composição Corporal1'!D40,Apoio2!$B$12:$C$16,2,0),IF('Dados do Aluno'!E8="Feminino",VLOOKUP(D40,Apoio2!$E$12:$F$17,2,0))),""))</f>
        <v/>
      </c>
      <c r="E42" s="242" t="s">
        <v>140</v>
      </c>
      <c r="F42" s="242"/>
      <c r="G42" s="241"/>
      <c r="H42" s="84">
        <f>IF('Dados do Aluno'!E8="Masculino",'Composição Corporal1'!C6*0.241,'Composição Corporal1'!C6*0.209)</f>
        <v>0</v>
      </c>
      <c r="I42" s="62"/>
    </row>
    <row r="43" spans="2:24" customFormat="1" ht="3.75" customHeight="1" x14ac:dyDescent="0.3">
      <c r="B43" s="95"/>
      <c r="E43" s="85" t="s">
        <v>141</v>
      </c>
      <c r="F43" s="10"/>
      <c r="G43" s="10"/>
      <c r="I43" s="62"/>
    </row>
    <row r="44" spans="2:24" x14ac:dyDescent="0.3">
      <c r="B44" s="60" t="s">
        <v>137</v>
      </c>
      <c r="C44" s="84" t="str">
        <f>IFERROR(IF(C6="","",C6-C46),"")</f>
        <v/>
      </c>
      <c r="E44" s="242" t="s">
        <v>141</v>
      </c>
      <c r="F44" s="242"/>
      <c r="G44" s="241"/>
      <c r="H44" s="84">
        <f>3.02*(C8^2*(W19/100)*(W17/100)*400)^0.712</f>
        <v>0</v>
      </c>
      <c r="I44" s="96"/>
    </row>
    <row r="45" spans="2:24" customFormat="1" ht="3.75" customHeight="1" x14ac:dyDescent="0.3">
      <c r="B45" s="95"/>
      <c r="E45" s="85"/>
      <c r="F45" s="10"/>
      <c r="G45" s="10"/>
      <c r="I45" s="62"/>
    </row>
    <row r="46" spans="2:24" x14ac:dyDescent="0.3">
      <c r="B46" s="98" t="s">
        <v>138</v>
      </c>
      <c r="C46" s="84" t="str">
        <f>IFERROR(IF(C6=G530,"",(C6-(C6*C42%))),"")</f>
        <v/>
      </c>
      <c r="D46" s="240" t="s">
        <v>142</v>
      </c>
      <c r="E46" s="242"/>
      <c r="F46" s="242"/>
      <c r="G46" s="241"/>
      <c r="H46" s="83" t="str">
        <f>IF(C42="","",IF('Dados do Aluno'!E8="Masculino",Apoio2!J24,Apoio2!J33))</f>
        <v/>
      </c>
      <c r="I46" s="96"/>
    </row>
    <row r="47" spans="2:24" customFormat="1" ht="3.75" customHeight="1" x14ac:dyDescent="0.3">
      <c r="B47" s="95"/>
      <c r="C47" s="14"/>
      <c r="E47" s="93"/>
      <c r="H47" s="97"/>
      <c r="I47" s="62"/>
    </row>
    <row r="48" spans="2:24" x14ac:dyDescent="0.3">
      <c r="B48" s="60" t="s">
        <v>139</v>
      </c>
      <c r="C48" s="84" t="str">
        <f>IFERROR(IF(C6="","",C6-(C44+H42+H44)),"")</f>
        <v/>
      </c>
      <c r="I48" s="96"/>
    </row>
    <row r="49" spans="2:9" x14ac:dyDescent="0.3">
      <c r="B49" s="65"/>
      <c r="C49" s="66"/>
      <c r="D49" s="66"/>
      <c r="E49" s="66"/>
      <c r="F49" s="66"/>
      <c r="G49" s="66"/>
      <c r="H49" s="66"/>
      <c r="I49" s="67"/>
    </row>
    <row r="52" spans="2:9" x14ac:dyDescent="0.3">
      <c r="B52" s="91" t="str">
        <f>B44</f>
        <v>Massa gorda</v>
      </c>
      <c r="C52" s="92" t="str">
        <f>C44</f>
        <v/>
      </c>
    </row>
    <row r="53" spans="2:9" x14ac:dyDescent="0.3">
      <c r="B53" s="91" t="str">
        <f>B46</f>
        <v>Massa livre de gordura</v>
      </c>
      <c r="C53" s="92" t="str">
        <f>C46</f>
        <v/>
      </c>
    </row>
    <row r="54" spans="2:9" x14ac:dyDescent="0.3">
      <c r="B54" s="91" t="str">
        <f>B48</f>
        <v>Massa muscular</v>
      </c>
      <c r="C54" s="92" t="str">
        <f>C48</f>
        <v/>
      </c>
    </row>
    <row r="55" spans="2:9" x14ac:dyDescent="0.3">
      <c r="B55" s="91" t="str">
        <f>E42</f>
        <v>Massa residual</v>
      </c>
      <c r="C55" s="92">
        <f>H42</f>
        <v>0</v>
      </c>
    </row>
    <row r="56" spans="2:9" x14ac:dyDescent="0.3">
      <c r="B56" s="91" t="str">
        <f>E44</f>
        <v>Massa Óssea</v>
      </c>
      <c r="C56" s="92">
        <f>H44</f>
        <v>0</v>
      </c>
    </row>
  </sheetData>
  <sheetProtection selectLockedCells="1"/>
  <mergeCells count="18">
    <mergeCell ref="B4:D4"/>
    <mergeCell ref="E2:X2"/>
    <mergeCell ref="C2:D2"/>
    <mergeCell ref="U11:W11"/>
    <mergeCell ref="B11:D11"/>
    <mergeCell ref="K11:O11"/>
    <mergeCell ref="L6:W8"/>
    <mergeCell ref="G6:I8"/>
    <mergeCell ref="E6:F8"/>
    <mergeCell ref="P34:R34"/>
    <mergeCell ref="N34:O34"/>
    <mergeCell ref="D46:G46"/>
    <mergeCell ref="E42:G42"/>
    <mergeCell ref="C12:E12"/>
    <mergeCell ref="B40:C40"/>
    <mergeCell ref="E44:G44"/>
    <mergeCell ref="B38:D38"/>
    <mergeCell ref="D40:H40"/>
  </mergeCells>
  <dataValidations count="1">
    <dataValidation type="list" allowBlank="1" showInputMessage="1" showErrorMessage="1" sqref="D40" xr:uid="{00000000-0002-0000-1200-000000000000}">
      <formula1>protocolos</formula1>
    </dataValidation>
  </dataValidations>
  <pageMargins left="0.25" right="0.25" top="0.75" bottom="0.75" header="0.3" footer="0.3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X56"/>
  <sheetViews>
    <sheetView showGridLines="0" zoomScale="90" zoomScaleNormal="90" workbookViewId="0"/>
  </sheetViews>
  <sheetFormatPr defaultColWidth="9.109375" defaultRowHeight="14.4" x14ac:dyDescent="0.3"/>
  <cols>
    <col min="1" max="1" width="3.33203125" style="55" customWidth="1"/>
    <col min="2" max="2" width="20.44140625" style="55" customWidth="1"/>
    <col min="3" max="3" width="10" style="55" customWidth="1"/>
    <col min="4" max="4" width="9.109375" style="55"/>
    <col min="5" max="5" width="10.5546875" style="55" customWidth="1"/>
    <col min="6" max="6" width="9.109375" style="55"/>
    <col min="7" max="7" width="9.5546875" style="55" bestFit="1" customWidth="1"/>
    <col min="8" max="8" width="15.109375" style="55" customWidth="1"/>
    <col min="9" max="9" width="5.77734375" style="55" customWidth="1"/>
    <col min="10" max="10" width="1.6640625" style="55" customWidth="1"/>
    <col min="11" max="11" width="2.33203125" style="55" customWidth="1"/>
    <col min="12" max="12" width="12.33203125" style="55" customWidth="1"/>
    <col min="13" max="13" width="9.44140625" style="55" customWidth="1"/>
    <col min="14" max="14" width="1.44140625" style="55" customWidth="1"/>
    <col min="15" max="15" width="9.44140625" style="55" customWidth="1"/>
    <col min="16" max="18" width="9.109375" style="55"/>
    <col min="19" max="19" width="1.44140625" style="55" customWidth="1"/>
    <col min="20" max="20" width="1.5546875" style="55" customWidth="1"/>
    <col min="21" max="21" width="2.6640625" style="55" customWidth="1"/>
    <col min="22" max="22" width="21.44140625" style="55" customWidth="1"/>
    <col min="23" max="23" width="9.109375" style="55"/>
    <col min="24" max="24" width="2.109375" style="55" customWidth="1"/>
    <col min="25" max="16384" width="9.109375" style="55"/>
  </cols>
  <sheetData>
    <row r="1" spans="2:24" ht="57" customHeight="1" x14ac:dyDescent="0.3"/>
    <row r="2" spans="2:24" ht="25.8" x14ac:dyDescent="0.3">
      <c r="B2" s="152" t="s">
        <v>223</v>
      </c>
      <c r="C2" s="251"/>
      <c r="D2" s="251"/>
      <c r="E2" s="250" t="s">
        <v>217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4" spans="2:24" ht="18.600000000000001" thickBot="1" x14ac:dyDescent="0.4">
      <c r="B4" s="249" t="s">
        <v>222</v>
      </c>
      <c r="C4" s="249"/>
      <c r="D4" s="249"/>
      <c r="E4" s="56"/>
      <c r="F4" s="56"/>
      <c r="G4" s="56"/>
      <c r="H4" s="56"/>
      <c r="I4" s="56"/>
      <c r="J4" s="56"/>
      <c r="K4" s="56"/>
      <c r="L4" s="56"/>
      <c r="M4" s="56"/>
      <c r="Q4" s="56"/>
      <c r="R4" s="56"/>
      <c r="S4" s="56"/>
      <c r="T4" s="56"/>
      <c r="U4" s="56"/>
      <c r="V4" s="56"/>
      <c r="W4" s="56"/>
      <c r="X4" s="56"/>
    </row>
    <row r="5" spans="2:24" ht="15" thickTop="1" x14ac:dyDescent="0.3">
      <c r="B5" s="57"/>
      <c r="C5" s="58"/>
      <c r="D5" s="58"/>
      <c r="E5" s="58"/>
      <c r="F5" s="58"/>
      <c r="G5" s="58"/>
      <c r="H5" s="58"/>
      <c r="I5" s="58"/>
      <c r="J5" s="58"/>
      <c r="K5" s="58"/>
      <c r="L5" s="159"/>
      <c r="M5" s="159"/>
      <c r="N5" s="159"/>
      <c r="O5" s="159"/>
      <c r="P5" s="58"/>
      <c r="Q5" s="58"/>
      <c r="R5" s="58"/>
      <c r="S5" s="58"/>
      <c r="T5" s="58"/>
      <c r="U5" s="58"/>
      <c r="V5" s="58"/>
      <c r="W5" s="58"/>
      <c r="X5" s="154"/>
    </row>
    <row r="6" spans="2:24" x14ac:dyDescent="0.3">
      <c r="B6" s="60" t="s">
        <v>59</v>
      </c>
      <c r="C6" s="61"/>
      <c r="E6" s="254" t="s">
        <v>227</v>
      </c>
      <c r="F6" s="254"/>
      <c r="G6" s="253" t="str">
        <f>IFERROR(C6/(C8*C8),"")</f>
        <v/>
      </c>
      <c r="H6" s="253"/>
      <c r="I6" s="253"/>
      <c r="L6" s="252" t="str">
        <f>IF(G6="","",IF(G6&lt;17,"Muito Abaixo do Peso",IF(AND(G6&gt;17,G6&lt;18.49),"Abaixo do Peso",IF(AND(G6&gt;18.5,G6&lt;24.99),"Peso Normal",IF(AND(G6&gt;25,G6&lt;29.99),"Sobrepeso",IF(AND(G6&gt;30,G6&lt;34.99),"Obesidade Grau 1",IF(AND(G6&gt;35,G6&lt;39.99),"Obesidade Grau 2",IF(G6&gt;40,"Obesidade Grau 3"))))))))</f>
        <v/>
      </c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155"/>
    </row>
    <row r="7" spans="2:24" x14ac:dyDescent="0.3">
      <c r="B7" s="60"/>
      <c r="C7" s="63"/>
      <c r="E7" s="254"/>
      <c r="F7" s="254"/>
      <c r="G7" s="253"/>
      <c r="H7" s="253"/>
      <c r="I7" s="253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155"/>
    </row>
    <row r="8" spans="2:24" x14ac:dyDescent="0.3">
      <c r="B8" s="60" t="s">
        <v>58</v>
      </c>
      <c r="C8" s="64"/>
      <c r="E8" s="254"/>
      <c r="F8" s="254"/>
      <c r="G8" s="253"/>
      <c r="H8" s="253"/>
      <c r="I8" s="253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155"/>
    </row>
    <row r="9" spans="2:24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160"/>
      <c r="M9" s="160"/>
      <c r="N9" s="160"/>
      <c r="O9" s="160"/>
      <c r="P9" s="66"/>
      <c r="Q9" s="66"/>
      <c r="R9" s="66"/>
      <c r="S9" s="66"/>
      <c r="T9" s="66"/>
      <c r="U9" s="66"/>
      <c r="V9" s="66"/>
      <c r="W9" s="66"/>
      <c r="X9" s="153"/>
    </row>
    <row r="11" spans="2:24" ht="18.600000000000001" thickBot="1" x14ac:dyDescent="0.35">
      <c r="B11" s="245" t="s">
        <v>231</v>
      </c>
      <c r="C11" s="245"/>
      <c r="D11" s="245"/>
      <c r="E11" s="56"/>
      <c r="F11" s="56"/>
      <c r="G11" s="56"/>
      <c r="H11" s="56"/>
      <c r="I11" s="56"/>
      <c r="K11" s="245" t="s">
        <v>230</v>
      </c>
      <c r="L11" s="245"/>
      <c r="M11" s="245"/>
      <c r="N11" s="245"/>
      <c r="O11" s="245"/>
      <c r="P11" s="56"/>
      <c r="Q11" s="56"/>
      <c r="R11" s="56"/>
      <c r="S11" s="56"/>
      <c r="U11" s="245" t="s">
        <v>229</v>
      </c>
      <c r="V11" s="245"/>
      <c r="W11" s="245"/>
      <c r="X11" s="56"/>
    </row>
    <row r="12" spans="2:24" ht="15" thickTop="1" x14ac:dyDescent="0.3">
      <c r="B12" s="68"/>
      <c r="C12" s="243"/>
      <c r="D12" s="243"/>
      <c r="E12" s="243"/>
      <c r="F12" s="58"/>
      <c r="G12" s="58"/>
      <c r="H12" s="58"/>
      <c r="I12" s="69"/>
      <c r="K12" s="70"/>
      <c r="S12" s="71"/>
      <c r="U12" s="89"/>
      <c r="V12" s="58"/>
      <c r="W12" s="58"/>
      <c r="X12" s="90"/>
    </row>
    <row r="13" spans="2:24" x14ac:dyDescent="0.3">
      <c r="B13" s="72"/>
      <c r="I13" s="73"/>
      <c r="K13" s="70"/>
      <c r="M13" s="134" t="s">
        <v>165</v>
      </c>
      <c r="O13" s="134" t="s">
        <v>166</v>
      </c>
      <c r="S13" s="71"/>
      <c r="U13" s="70"/>
      <c r="X13" s="71"/>
    </row>
    <row r="14" spans="2:24" ht="5.0999999999999996" customHeight="1" x14ac:dyDescent="0.3">
      <c r="B14" s="72"/>
      <c r="I14" s="73"/>
      <c r="K14" s="70"/>
      <c r="S14" s="71"/>
      <c r="U14" s="70"/>
      <c r="X14" s="71"/>
    </row>
    <row r="15" spans="2:24" x14ac:dyDescent="0.3">
      <c r="B15" s="74" t="s">
        <v>61</v>
      </c>
      <c r="C15" s="61"/>
      <c r="I15" s="73"/>
      <c r="K15" s="70"/>
      <c r="L15" s="75" t="s">
        <v>22</v>
      </c>
      <c r="M15" s="61"/>
      <c r="N15" s="76"/>
      <c r="O15" s="76"/>
      <c r="S15" s="71"/>
      <c r="U15" s="70"/>
      <c r="V15" s="55" t="s">
        <v>228</v>
      </c>
      <c r="W15" s="61"/>
      <c r="X15" s="71"/>
    </row>
    <row r="16" spans="2:24" customFormat="1" ht="3.9" customHeight="1" x14ac:dyDescent="0.3">
      <c r="B16" s="85"/>
      <c r="C16" s="86"/>
      <c r="I16" s="87"/>
      <c r="K16" s="15"/>
      <c r="L16" s="14"/>
      <c r="M16" s="86"/>
      <c r="N16" s="86"/>
      <c r="O16" s="86"/>
      <c r="S16" s="16"/>
      <c r="U16" s="70"/>
      <c r="V16" s="55"/>
      <c r="W16" s="86"/>
      <c r="X16" s="16"/>
    </row>
    <row r="17" spans="2:24" x14ac:dyDescent="0.3">
      <c r="B17" s="74" t="s">
        <v>62</v>
      </c>
      <c r="C17" s="61"/>
      <c r="I17" s="73"/>
      <c r="K17" s="70"/>
      <c r="L17" s="75" t="s">
        <v>24</v>
      </c>
      <c r="M17" s="61"/>
      <c r="N17" s="76"/>
      <c r="O17" s="76"/>
      <c r="S17" s="71"/>
      <c r="U17" s="70"/>
      <c r="V17" s="55" t="s">
        <v>225</v>
      </c>
      <c r="W17" s="61"/>
      <c r="X17" s="71"/>
    </row>
    <row r="18" spans="2:24" customFormat="1" ht="3.9" customHeight="1" x14ac:dyDescent="0.3">
      <c r="B18" s="85"/>
      <c r="C18" s="86"/>
      <c r="I18" s="87"/>
      <c r="K18" s="15"/>
      <c r="L18" s="14"/>
      <c r="M18" s="86"/>
      <c r="N18" s="86"/>
      <c r="O18" s="86"/>
      <c r="S18" s="16"/>
      <c r="U18" s="70"/>
      <c r="V18" s="55"/>
      <c r="W18" s="86"/>
      <c r="X18" s="16"/>
    </row>
    <row r="19" spans="2:24" x14ac:dyDescent="0.3">
      <c r="B19" s="74" t="s">
        <v>63</v>
      </c>
      <c r="C19" s="61"/>
      <c r="I19" s="73"/>
      <c r="K19" s="70"/>
      <c r="L19" s="75" t="s">
        <v>26</v>
      </c>
      <c r="M19" s="61"/>
      <c r="N19" s="76"/>
      <c r="O19" s="76"/>
      <c r="S19" s="71"/>
      <c r="U19" s="70"/>
      <c r="V19" s="55" t="s">
        <v>226</v>
      </c>
      <c r="W19" s="61"/>
      <c r="X19" s="71"/>
    </row>
    <row r="20" spans="2:24" customFormat="1" ht="3.9" customHeight="1" x14ac:dyDescent="0.3">
      <c r="B20" s="85"/>
      <c r="C20" s="86"/>
      <c r="I20" s="87"/>
      <c r="K20" s="15"/>
      <c r="L20" s="14"/>
      <c r="M20" s="86"/>
      <c r="N20" s="86"/>
      <c r="O20" s="86"/>
      <c r="S20" s="16"/>
      <c r="U20" s="70"/>
      <c r="V20" s="55"/>
      <c r="W20" s="86"/>
      <c r="X20" s="16"/>
    </row>
    <row r="21" spans="2:24" x14ac:dyDescent="0.3">
      <c r="B21" s="74" t="s">
        <v>64</v>
      </c>
      <c r="C21" s="61"/>
      <c r="I21" s="73"/>
      <c r="K21" s="70"/>
      <c r="L21" s="75" t="s">
        <v>28</v>
      </c>
      <c r="M21" s="61"/>
      <c r="N21" s="76"/>
      <c r="O21" s="76"/>
      <c r="S21" s="71"/>
      <c r="U21" s="70"/>
      <c r="X21" s="71"/>
    </row>
    <row r="22" spans="2:24" customFormat="1" ht="3.9" customHeight="1" x14ac:dyDescent="0.3">
      <c r="B22" s="85"/>
      <c r="C22" s="86"/>
      <c r="I22" s="87"/>
      <c r="K22" s="15"/>
      <c r="L22" s="14"/>
      <c r="M22" s="86"/>
      <c r="N22" s="86"/>
      <c r="O22" s="86"/>
      <c r="S22" s="16"/>
      <c r="U22" s="70"/>
      <c r="V22" s="55"/>
      <c r="W22" s="55"/>
      <c r="X22" s="71"/>
    </row>
    <row r="23" spans="2:24" x14ac:dyDescent="0.3">
      <c r="B23" s="74" t="s">
        <v>65</v>
      </c>
      <c r="C23" s="61"/>
      <c r="I23" s="73"/>
      <c r="K23" s="70"/>
      <c r="L23" s="75" t="s">
        <v>30</v>
      </c>
      <c r="M23" s="61"/>
      <c r="N23" s="76"/>
      <c r="O23" s="76"/>
      <c r="S23" s="71"/>
      <c r="U23" s="70"/>
      <c r="X23" s="71"/>
    </row>
    <row r="24" spans="2:24" customFormat="1" ht="3.9" customHeight="1" x14ac:dyDescent="0.3">
      <c r="B24" s="85"/>
      <c r="C24" s="86"/>
      <c r="I24" s="87"/>
      <c r="K24" s="15"/>
      <c r="L24" s="14"/>
      <c r="M24" s="86"/>
      <c r="N24" s="86"/>
      <c r="O24" s="86"/>
      <c r="S24" s="16"/>
      <c r="U24" s="15"/>
      <c r="X24" s="16"/>
    </row>
    <row r="25" spans="2:24" x14ac:dyDescent="0.3">
      <c r="B25" s="74" t="s">
        <v>66</v>
      </c>
      <c r="C25" s="61"/>
      <c r="I25" s="73"/>
      <c r="K25" s="70"/>
      <c r="L25" s="75" t="s">
        <v>23</v>
      </c>
      <c r="M25" s="61"/>
      <c r="N25" s="76"/>
      <c r="O25" s="61"/>
      <c r="S25" s="71"/>
      <c r="U25" s="70"/>
      <c r="V25" s="75"/>
      <c r="W25" s="76"/>
      <c r="X25" s="71"/>
    </row>
    <row r="26" spans="2:24" customFormat="1" ht="3.9" customHeight="1" x14ac:dyDescent="0.3">
      <c r="B26" s="85"/>
      <c r="C26" s="86"/>
      <c r="I26" s="87"/>
      <c r="K26" s="15"/>
      <c r="L26" s="14"/>
      <c r="M26" s="86"/>
      <c r="N26" s="86"/>
      <c r="O26" s="86"/>
      <c r="S26" s="16"/>
      <c r="U26" s="15"/>
      <c r="V26" s="14"/>
      <c r="W26" s="86"/>
      <c r="X26" s="16"/>
    </row>
    <row r="27" spans="2:24" x14ac:dyDescent="0.3">
      <c r="B27" s="74" t="s">
        <v>67</v>
      </c>
      <c r="C27" s="61"/>
      <c r="I27" s="73"/>
      <c r="K27" s="70"/>
      <c r="L27" s="75" t="s">
        <v>25</v>
      </c>
      <c r="M27" s="61"/>
      <c r="N27" s="76"/>
      <c r="O27" s="61"/>
      <c r="S27" s="71"/>
      <c r="U27" s="70"/>
      <c r="V27" s="75"/>
      <c r="W27" s="76"/>
      <c r="X27" s="71"/>
    </row>
    <row r="28" spans="2:24" customFormat="1" ht="3.9" customHeight="1" x14ac:dyDescent="0.3">
      <c r="B28" s="85"/>
      <c r="C28" s="86"/>
      <c r="I28" s="87"/>
      <c r="K28" s="15"/>
      <c r="L28" s="14"/>
      <c r="M28" s="86"/>
      <c r="N28" s="86"/>
      <c r="O28" s="86"/>
      <c r="S28" s="16"/>
      <c r="U28" s="15"/>
      <c r="V28" s="14"/>
      <c r="W28" s="86"/>
      <c r="X28" s="16"/>
    </row>
    <row r="29" spans="2:24" x14ac:dyDescent="0.3">
      <c r="B29" s="74" t="s">
        <v>68</v>
      </c>
      <c r="C29" s="61"/>
      <c r="I29" s="73"/>
      <c r="K29" s="70"/>
      <c r="L29" s="75" t="s">
        <v>27</v>
      </c>
      <c r="M29" s="61"/>
      <c r="N29" s="76"/>
      <c r="O29" s="61"/>
      <c r="S29" s="71"/>
      <c r="U29" s="70"/>
      <c r="V29" s="75"/>
      <c r="W29" s="76"/>
      <c r="X29" s="71"/>
    </row>
    <row r="30" spans="2:24" customFormat="1" ht="3.9" customHeight="1" x14ac:dyDescent="0.3">
      <c r="B30" s="85"/>
      <c r="C30" s="86"/>
      <c r="I30" s="87"/>
      <c r="K30" s="15"/>
      <c r="L30" s="14"/>
      <c r="M30" s="86"/>
      <c r="N30" s="86"/>
      <c r="O30" s="86"/>
      <c r="S30" s="16"/>
      <c r="U30" s="15"/>
      <c r="V30" s="14"/>
      <c r="W30" s="86"/>
      <c r="X30" s="16"/>
    </row>
    <row r="31" spans="2:24" x14ac:dyDescent="0.3">
      <c r="B31" s="74" t="s">
        <v>69</v>
      </c>
      <c r="C31" s="61"/>
      <c r="I31" s="73"/>
      <c r="K31" s="70"/>
      <c r="L31" s="75" t="s">
        <v>29</v>
      </c>
      <c r="M31" s="61"/>
      <c r="N31" s="76"/>
      <c r="O31" s="61"/>
      <c r="S31" s="71"/>
      <c r="U31" s="70"/>
      <c r="X31" s="71"/>
    </row>
    <row r="32" spans="2:24" customFormat="1" ht="3.9" customHeight="1" x14ac:dyDescent="0.3">
      <c r="B32" s="88"/>
      <c r="C32" s="86"/>
      <c r="I32" s="87"/>
      <c r="K32" s="15"/>
      <c r="S32" s="16"/>
      <c r="U32" s="15"/>
      <c r="X32" s="16"/>
    </row>
    <row r="33" spans="2:24" x14ac:dyDescent="0.3">
      <c r="B33" s="74" t="s">
        <v>70</v>
      </c>
      <c r="C33" s="158">
        <f>SUM(C15,C17,C19,C21,C23,C25,C27,C29,C31,)</f>
        <v>0</v>
      </c>
      <c r="I33" s="73"/>
      <c r="K33" s="70"/>
      <c r="S33" s="71"/>
      <c r="U33" s="70"/>
      <c r="X33" s="71"/>
    </row>
    <row r="34" spans="2:24" x14ac:dyDescent="0.3">
      <c r="B34" s="74"/>
      <c r="C34" s="76"/>
      <c r="I34" s="73"/>
      <c r="K34" s="70"/>
      <c r="L34" s="75" t="s">
        <v>167</v>
      </c>
      <c r="M34" s="64" t="str">
        <f>IF(M23="","",M19/M23)</f>
        <v/>
      </c>
      <c r="N34" s="255" t="s">
        <v>168</v>
      </c>
      <c r="O34" s="256"/>
      <c r="P34" s="237" t="str">
        <f ca="1">IF('Dados do Aluno'!E8="Feminino",Apoio2!E51,Apoio2!F51)</f>
        <v/>
      </c>
      <c r="Q34" s="238"/>
      <c r="R34" s="239"/>
      <c r="S34" s="71"/>
      <c r="U34" s="70"/>
      <c r="X34" s="71"/>
    </row>
    <row r="35" spans="2:24" ht="15" customHeight="1" x14ac:dyDescent="0.3">
      <c r="B35" s="77"/>
      <c r="C35" s="78"/>
      <c r="D35" s="78"/>
      <c r="E35" s="78"/>
      <c r="F35" s="78"/>
      <c r="G35" s="78"/>
      <c r="H35" s="78"/>
      <c r="I35" s="79"/>
      <c r="K35" s="80"/>
      <c r="L35" s="81"/>
      <c r="M35" s="81"/>
      <c r="N35" s="81"/>
      <c r="O35" s="81"/>
      <c r="P35" s="81"/>
      <c r="Q35" s="81"/>
      <c r="R35" s="81"/>
      <c r="S35" s="82"/>
      <c r="U35" s="80"/>
      <c r="V35" s="81"/>
      <c r="W35" s="81"/>
      <c r="X35" s="82"/>
    </row>
    <row r="36" spans="2:24" ht="21" hidden="1" customHeight="1" x14ac:dyDescent="0.3"/>
    <row r="37" spans="2:24" ht="7.8" customHeight="1" x14ac:dyDescent="0.3"/>
    <row r="38" spans="2:24" ht="21.75" customHeight="1" thickBot="1" x14ac:dyDescent="0.35">
      <c r="B38" s="245" t="s">
        <v>156</v>
      </c>
      <c r="C38" s="245"/>
      <c r="D38" s="245"/>
      <c r="E38" s="56"/>
      <c r="F38" s="56"/>
      <c r="G38" s="56"/>
      <c r="H38" s="56"/>
      <c r="I38" s="56"/>
    </row>
    <row r="39" spans="2:24" ht="21.75" customHeight="1" thickTop="1" x14ac:dyDescent="0.3">
      <c r="B39" s="57"/>
      <c r="C39" s="58"/>
      <c r="D39" s="58"/>
      <c r="E39" s="58"/>
      <c r="F39" s="58"/>
      <c r="G39" s="58"/>
      <c r="H39" s="58"/>
      <c r="I39" s="59"/>
    </row>
    <row r="40" spans="2:24" x14ac:dyDescent="0.3">
      <c r="B40" s="244" t="s">
        <v>135</v>
      </c>
      <c r="C40" s="242"/>
      <c r="D40" s="246"/>
      <c r="E40" s="247"/>
      <c r="F40" s="247"/>
      <c r="G40" s="247"/>
      <c r="H40" s="248"/>
      <c r="I40" s="62"/>
    </row>
    <row r="41" spans="2:24" x14ac:dyDescent="0.3">
      <c r="B41" s="94"/>
      <c r="I41" s="62"/>
    </row>
    <row r="42" spans="2:24" x14ac:dyDescent="0.3">
      <c r="B42" s="60" t="s">
        <v>136</v>
      </c>
      <c r="C42" s="83" t="str">
        <f>IFERROR(IF(D40="","",IF('Dados do Aluno'!E8="Masculino",VLOOKUP('Composição Corporal2'!D40,Apoio2!$L$12:$M$14,2,0),IF('Dados do Aluno'!E8="Feminino",VLOOKUP(D40,Apoio2!$O$12:$P$14,2,0)))),"")</f>
        <v/>
      </c>
      <c r="E42" s="242" t="s">
        <v>140</v>
      </c>
      <c r="F42" s="242"/>
      <c r="G42" s="241"/>
      <c r="H42" s="84">
        <f>IF('Dados do Aluno'!E8="Masculino",'Composição Corporal2'!C6*0.241,'Composição Corporal2'!C6*0.209)</f>
        <v>0</v>
      </c>
      <c r="I42" s="62"/>
    </row>
    <row r="43" spans="2:24" customFormat="1" ht="3.75" customHeight="1" x14ac:dyDescent="0.3">
      <c r="B43" s="95"/>
      <c r="E43" s="85" t="s">
        <v>141</v>
      </c>
      <c r="F43" s="10"/>
      <c r="G43" s="10"/>
      <c r="I43" s="62"/>
    </row>
    <row r="44" spans="2:24" x14ac:dyDescent="0.3">
      <c r="B44" s="60" t="s">
        <v>137</v>
      </c>
      <c r="C44" s="84" t="str">
        <f>IFERROR(IF(C6="","",C6-C46),"")</f>
        <v/>
      </c>
      <c r="E44" s="242" t="s">
        <v>141</v>
      </c>
      <c r="F44" s="242"/>
      <c r="G44" s="241"/>
      <c r="H44" s="84">
        <f>3.02*(C8^2*(W19/100)*(W17/100)*400)^0.712</f>
        <v>0</v>
      </c>
      <c r="I44" s="96"/>
    </row>
    <row r="45" spans="2:24" customFormat="1" ht="3.75" customHeight="1" x14ac:dyDescent="0.3">
      <c r="B45" s="95"/>
      <c r="E45" s="85"/>
      <c r="F45" s="10"/>
      <c r="G45" s="10"/>
      <c r="I45" s="62"/>
    </row>
    <row r="46" spans="2:24" x14ac:dyDescent="0.3">
      <c r="B46" s="98" t="s">
        <v>138</v>
      </c>
      <c r="C46" s="84" t="str">
        <f>IFERROR(IF(C6=0,"",(C6-(C6*C42%))),"")</f>
        <v/>
      </c>
      <c r="D46" s="240" t="s">
        <v>142</v>
      </c>
      <c r="E46" s="242"/>
      <c r="F46" s="242"/>
      <c r="G46" s="241"/>
      <c r="H46" s="83" t="str">
        <f>IF(C42="","",IF('Dados do Aluno'!E8="Masculino",Apoio2!M24,Apoio2!M33))</f>
        <v/>
      </c>
      <c r="I46" s="96"/>
    </row>
    <row r="47" spans="2:24" customFormat="1" ht="3.75" customHeight="1" x14ac:dyDescent="0.3">
      <c r="B47" s="95"/>
      <c r="C47" s="14"/>
      <c r="E47" s="93"/>
      <c r="H47" s="97"/>
      <c r="I47" s="62"/>
    </row>
    <row r="48" spans="2:24" x14ac:dyDescent="0.3">
      <c r="B48" s="60" t="s">
        <v>139</v>
      </c>
      <c r="C48" s="84" t="str">
        <f>IFERROR(IF(C6="","",C6-(C44+H42+H44)),"")</f>
        <v/>
      </c>
      <c r="I48" s="96"/>
    </row>
    <row r="49" spans="2:9" x14ac:dyDescent="0.3">
      <c r="B49" s="65"/>
      <c r="C49" s="66"/>
      <c r="D49" s="66"/>
      <c r="E49" s="66"/>
      <c r="F49" s="66"/>
      <c r="G49" s="66"/>
      <c r="H49" s="66"/>
      <c r="I49" s="67"/>
    </row>
    <row r="52" spans="2:9" x14ac:dyDescent="0.3">
      <c r="B52" s="91" t="str">
        <f>B44</f>
        <v>Massa gorda</v>
      </c>
      <c r="C52" s="92" t="str">
        <f>C44</f>
        <v/>
      </c>
    </row>
    <row r="53" spans="2:9" x14ac:dyDescent="0.3">
      <c r="B53" s="91" t="str">
        <f>B46</f>
        <v>Massa livre de gordura</v>
      </c>
      <c r="C53" s="92" t="str">
        <f>C46</f>
        <v/>
      </c>
    </row>
    <row r="54" spans="2:9" x14ac:dyDescent="0.3">
      <c r="B54" s="91" t="str">
        <f>B48</f>
        <v>Massa muscular</v>
      </c>
      <c r="C54" s="92" t="str">
        <f>C48</f>
        <v/>
      </c>
    </row>
    <row r="55" spans="2:9" x14ac:dyDescent="0.3">
      <c r="B55" s="91" t="str">
        <f>E42</f>
        <v>Massa residual</v>
      </c>
      <c r="C55" s="92">
        <f>H42</f>
        <v>0</v>
      </c>
    </row>
    <row r="56" spans="2:9" x14ac:dyDescent="0.3">
      <c r="B56" s="91" t="str">
        <f>E44</f>
        <v>Massa Óssea</v>
      </c>
      <c r="C56" s="92">
        <f>H44</f>
        <v>0</v>
      </c>
    </row>
  </sheetData>
  <sheetProtection selectLockedCells="1"/>
  <mergeCells count="18">
    <mergeCell ref="C2:D2"/>
    <mergeCell ref="E2:X2"/>
    <mergeCell ref="B4:D4"/>
    <mergeCell ref="B11:D11"/>
    <mergeCell ref="K11:O11"/>
    <mergeCell ref="U11:W11"/>
    <mergeCell ref="L6:W8"/>
    <mergeCell ref="G6:I8"/>
    <mergeCell ref="E6:F8"/>
    <mergeCell ref="N34:O34"/>
    <mergeCell ref="P34:R34"/>
    <mergeCell ref="D46:G46"/>
    <mergeCell ref="C12:E12"/>
    <mergeCell ref="B40:C40"/>
    <mergeCell ref="E42:G42"/>
    <mergeCell ref="E44:G44"/>
    <mergeCell ref="B38:D38"/>
    <mergeCell ref="D40:H40"/>
  </mergeCells>
  <dataValidations count="1">
    <dataValidation type="list" allowBlank="1" showInputMessage="1" showErrorMessage="1" sqref="D40" xr:uid="{00000000-0002-0000-1300-000000000000}">
      <formula1>protocolos</formula1>
    </dataValidation>
  </dataValidations>
  <pageMargins left="0.25" right="0.25" top="0.75" bottom="0.75" header="0.3" footer="0.3"/>
  <pageSetup paperSize="9" scale="7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X56"/>
  <sheetViews>
    <sheetView showGridLines="0" zoomScale="90" zoomScaleNormal="90" workbookViewId="0">
      <selection activeCell="C2" sqref="C2:D2"/>
    </sheetView>
  </sheetViews>
  <sheetFormatPr defaultColWidth="9.109375" defaultRowHeight="14.4" x14ac:dyDescent="0.3"/>
  <cols>
    <col min="1" max="1" width="3.33203125" style="55" customWidth="1"/>
    <col min="2" max="2" width="20.44140625" style="55" customWidth="1"/>
    <col min="3" max="3" width="10" style="55" customWidth="1"/>
    <col min="4" max="4" width="9.109375" style="55"/>
    <col min="5" max="5" width="10.5546875" style="55" customWidth="1"/>
    <col min="6" max="6" width="9.109375" style="55"/>
    <col min="7" max="7" width="9.5546875" style="55" bestFit="1" customWidth="1"/>
    <col min="8" max="8" width="15.109375" style="55" customWidth="1"/>
    <col min="9" max="9" width="5.77734375" style="55" customWidth="1"/>
    <col min="10" max="10" width="1.6640625" style="55" customWidth="1"/>
    <col min="11" max="11" width="2.33203125" style="55" customWidth="1"/>
    <col min="12" max="12" width="12.33203125" style="55" customWidth="1"/>
    <col min="13" max="13" width="9.44140625" style="55" customWidth="1"/>
    <col min="14" max="14" width="1.44140625" style="55" customWidth="1"/>
    <col min="15" max="15" width="9" style="55" customWidth="1"/>
    <col min="16" max="18" width="9.109375" style="55"/>
    <col min="19" max="19" width="1.6640625" style="55" customWidth="1"/>
    <col min="20" max="20" width="1.5546875" style="55" customWidth="1"/>
    <col min="21" max="21" width="2.6640625" style="55" customWidth="1"/>
    <col min="22" max="22" width="21.44140625" style="55" customWidth="1"/>
    <col min="23" max="23" width="9.109375" style="55"/>
    <col min="24" max="24" width="2.109375" style="55" customWidth="1"/>
    <col min="25" max="16384" width="9.109375" style="55"/>
  </cols>
  <sheetData>
    <row r="1" spans="2:24" ht="57" customHeight="1" x14ac:dyDescent="0.3"/>
    <row r="2" spans="2:24" ht="25.8" x14ac:dyDescent="0.3">
      <c r="B2" s="152" t="s">
        <v>223</v>
      </c>
      <c r="C2" s="251"/>
      <c r="D2" s="251"/>
      <c r="E2" s="250" t="s">
        <v>218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4" spans="2:24" ht="18.600000000000001" thickBot="1" x14ac:dyDescent="0.4">
      <c r="B4" s="249" t="s">
        <v>222</v>
      </c>
      <c r="C4" s="249"/>
      <c r="D4" s="249"/>
      <c r="E4" s="56"/>
      <c r="F4" s="56"/>
      <c r="G4" s="56"/>
      <c r="H4" s="56"/>
      <c r="I4" s="56"/>
      <c r="J4" s="56"/>
      <c r="K4" s="56"/>
      <c r="L4" s="56"/>
      <c r="M4" s="56"/>
      <c r="Q4" s="56"/>
      <c r="R4" s="56"/>
      <c r="S4" s="56"/>
      <c r="T4" s="56"/>
      <c r="U4" s="56"/>
      <c r="V4" s="56"/>
      <c r="W4" s="56"/>
      <c r="X4" s="56"/>
    </row>
    <row r="5" spans="2:24" ht="15" thickTop="1" x14ac:dyDescent="0.3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X5" s="154"/>
    </row>
    <row r="6" spans="2:24" x14ac:dyDescent="0.3">
      <c r="B6" s="60" t="s">
        <v>59</v>
      </c>
      <c r="C6" s="61"/>
      <c r="E6" s="254" t="s">
        <v>227</v>
      </c>
      <c r="F6" s="254"/>
      <c r="G6" s="253" t="str">
        <f>IFERROR(C6/(C8*C8),"")</f>
        <v/>
      </c>
      <c r="H6" s="253"/>
      <c r="I6" s="253"/>
      <c r="L6" s="252" t="str">
        <f>IF(G6="","",IF(G6&lt;17,"Muito Abaixo do Peso",IF(AND(G6&gt;17,G6&lt;18.49),"Abaixo do Peso",IF(AND(G6&gt;18.5,G6&lt;24.99),"Peso Normal",IF(AND(G6&gt;25,G6&lt;29.99),"Sobrepeso",IF(AND(G6&gt;30,G6&lt;34.99),"Obesidade Grau 1",IF(AND(G6&gt;35,G6&lt;39.99),"Obesidade Grau 2",IF(G6&gt;40,"Obesidade Grau 3"))))))))</f>
        <v/>
      </c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155"/>
    </row>
    <row r="7" spans="2:24" x14ac:dyDescent="0.3">
      <c r="B7" s="60"/>
      <c r="C7" s="63"/>
      <c r="E7" s="254"/>
      <c r="F7" s="254"/>
      <c r="G7" s="253"/>
      <c r="H7" s="253"/>
      <c r="I7" s="253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155"/>
    </row>
    <row r="8" spans="2:24" x14ac:dyDescent="0.3">
      <c r="B8" s="60" t="s">
        <v>58</v>
      </c>
      <c r="C8" s="64"/>
      <c r="E8" s="254"/>
      <c r="F8" s="254"/>
      <c r="G8" s="253"/>
      <c r="H8" s="253"/>
      <c r="I8" s="253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155"/>
    </row>
    <row r="9" spans="2:24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153"/>
    </row>
    <row r="11" spans="2:24" ht="18.600000000000001" thickBot="1" x14ac:dyDescent="0.35">
      <c r="B11" s="245" t="s">
        <v>231</v>
      </c>
      <c r="C11" s="245"/>
      <c r="D11" s="245"/>
      <c r="E11" s="56"/>
      <c r="F11" s="56"/>
      <c r="G11" s="56"/>
      <c r="H11" s="56"/>
      <c r="I11" s="56"/>
      <c r="K11" s="245" t="s">
        <v>230</v>
      </c>
      <c r="L11" s="245"/>
      <c r="M11" s="245"/>
      <c r="N11" s="245"/>
      <c r="O11" s="245"/>
      <c r="P11" s="56"/>
      <c r="Q11" s="56"/>
      <c r="R11" s="56"/>
      <c r="S11" s="56"/>
      <c r="U11" s="245" t="s">
        <v>229</v>
      </c>
      <c r="V11" s="245"/>
      <c r="W11" s="245"/>
      <c r="X11" s="56"/>
    </row>
    <row r="12" spans="2:24" ht="15" thickTop="1" x14ac:dyDescent="0.3">
      <c r="B12" s="68"/>
      <c r="C12" s="243"/>
      <c r="D12" s="243"/>
      <c r="E12" s="243"/>
      <c r="F12" s="58"/>
      <c r="G12" s="58"/>
      <c r="H12" s="58"/>
      <c r="I12" s="69"/>
      <c r="K12" s="70"/>
      <c r="S12" s="71"/>
      <c r="U12" s="89"/>
      <c r="V12" s="58"/>
      <c r="W12" s="58"/>
      <c r="X12" s="90"/>
    </row>
    <row r="13" spans="2:24" x14ac:dyDescent="0.3">
      <c r="B13" s="72"/>
      <c r="I13" s="73"/>
      <c r="K13" s="70"/>
      <c r="M13" s="134" t="s">
        <v>165</v>
      </c>
      <c r="O13" s="134" t="s">
        <v>166</v>
      </c>
      <c r="S13" s="71"/>
      <c r="U13" s="70"/>
      <c r="X13" s="71"/>
    </row>
    <row r="14" spans="2:24" ht="5.0999999999999996" customHeight="1" x14ac:dyDescent="0.3">
      <c r="B14" s="72"/>
      <c r="I14" s="73"/>
      <c r="K14" s="70"/>
      <c r="S14" s="71"/>
      <c r="U14" s="70"/>
      <c r="X14" s="71"/>
    </row>
    <row r="15" spans="2:24" x14ac:dyDescent="0.3">
      <c r="B15" s="74" t="s">
        <v>61</v>
      </c>
      <c r="C15" s="61"/>
      <c r="I15" s="73"/>
      <c r="K15" s="70"/>
      <c r="L15" s="75" t="s">
        <v>22</v>
      </c>
      <c r="M15" s="61"/>
      <c r="N15" s="76"/>
      <c r="O15" s="76"/>
      <c r="S15" s="71"/>
      <c r="U15" s="70"/>
      <c r="V15" s="55" t="s">
        <v>228</v>
      </c>
      <c r="W15" s="61"/>
      <c r="X15" s="71"/>
    </row>
    <row r="16" spans="2:24" customFormat="1" ht="3.9" customHeight="1" x14ac:dyDescent="0.3">
      <c r="B16" s="85"/>
      <c r="C16" s="86"/>
      <c r="I16" s="87"/>
      <c r="K16" s="15"/>
      <c r="L16" s="14"/>
      <c r="M16" s="86"/>
      <c r="N16" s="86"/>
      <c r="O16" s="86"/>
      <c r="S16" s="16"/>
      <c r="U16" s="70"/>
      <c r="V16" s="55"/>
      <c r="W16" s="86"/>
      <c r="X16" s="16"/>
    </row>
    <row r="17" spans="2:24" x14ac:dyDescent="0.3">
      <c r="B17" s="74" t="s">
        <v>62</v>
      </c>
      <c r="C17" s="61"/>
      <c r="I17" s="73"/>
      <c r="K17" s="70"/>
      <c r="L17" s="75" t="s">
        <v>24</v>
      </c>
      <c r="M17" s="61"/>
      <c r="N17" s="76"/>
      <c r="O17" s="76"/>
      <c r="S17" s="71"/>
      <c r="U17" s="70"/>
      <c r="V17" s="55" t="s">
        <v>225</v>
      </c>
      <c r="W17" s="61"/>
      <c r="X17" s="71"/>
    </row>
    <row r="18" spans="2:24" customFormat="1" ht="3.9" customHeight="1" x14ac:dyDescent="0.3">
      <c r="B18" s="85"/>
      <c r="C18" s="86"/>
      <c r="I18" s="87"/>
      <c r="K18" s="15"/>
      <c r="L18" s="14"/>
      <c r="M18" s="86"/>
      <c r="N18" s="86"/>
      <c r="O18" s="86"/>
      <c r="S18" s="16"/>
      <c r="U18" s="70"/>
      <c r="V18" s="55"/>
      <c r="W18" s="86"/>
      <c r="X18" s="16"/>
    </row>
    <row r="19" spans="2:24" x14ac:dyDescent="0.3">
      <c r="B19" s="74" t="s">
        <v>63</v>
      </c>
      <c r="C19" s="61"/>
      <c r="I19" s="73"/>
      <c r="K19" s="70"/>
      <c r="L19" s="75" t="s">
        <v>26</v>
      </c>
      <c r="M19" s="61"/>
      <c r="N19" s="76"/>
      <c r="O19" s="76"/>
      <c r="S19" s="71"/>
      <c r="U19" s="70"/>
      <c r="V19" s="55" t="s">
        <v>226</v>
      </c>
      <c r="W19" s="61"/>
      <c r="X19" s="71"/>
    </row>
    <row r="20" spans="2:24" customFormat="1" ht="3.9" customHeight="1" x14ac:dyDescent="0.3">
      <c r="B20" s="85"/>
      <c r="C20" s="86"/>
      <c r="I20" s="87"/>
      <c r="K20" s="15"/>
      <c r="L20" s="14"/>
      <c r="M20" s="86"/>
      <c r="N20" s="86"/>
      <c r="O20" s="86"/>
      <c r="S20" s="16"/>
      <c r="U20" s="70"/>
      <c r="V20" s="55"/>
      <c r="W20" s="86"/>
      <c r="X20" s="16"/>
    </row>
    <row r="21" spans="2:24" x14ac:dyDescent="0.3">
      <c r="B21" s="74" t="s">
        <v>64</v>
      </c>
      <c r="C21" s="61"/>
      <c r="I21" s="73"/>
      <c r="K21" s="70"/>
      <c r="L21" s="75" t="s">
        <v>28</v>
      </c>
      <c r="M21" s="61"/>
      <c r="N21" s="76"/>
      <c r="O21" s="76"/>
      <c r="S21" s="71"/>
      <c r="U21" s="70"/>
      <c r="X21" s="71"/>
    </row>
    <row r="22" spans="2:24" customFormat="1" ht="3.9" customHeight="1" x14ac:dyDescent="0.3">
      <c r="B22" s="85"/>
      <c r="C22" s="86"/>
      <c r="I22" s="87"/>
      <c r="K22" s="15"/>
      <c r="L22" s="14"/>
      <c r="M22" s="86"/>
      <c r="N22" s="86"/>
      <c r="O22" s="86"/>
      <c r="S22" s="16"/>
      <c r="U22" s="70"/>
      <c r="V22" s="55"/>
      <c r="W22" s="55"/>
      <c r="X22" s="71"/>
    </row>
    <row r="23" spans="2:24" x14ac:dyDescent="0.3">
      <c r="B23" s="74" t="s">
        <v>65</v>
      </c>
      <c r="C23" s="61"/>
      <c r="I23" s="73"/>
      <c r="K23" s="70"/>
      <c r="L23" s="75" t="s">
        <v>30</v>
      </c>
      <c r="M23" s="61"/>
      <c r="N23" s="76"/>
      <c r="O23" s="76"/>
      <c r="S23" s="71"/>
      <c r="U23" s="70"/>
      <c r="X23" s="71"/>
    </row>
    <row r="24" spans="2:24" customFormat="1" ht="3.9" customHeight="1" x14ac:dyDescent="0.3">
      <c r="B24" s="85"/>
      <c r="C24" s="86"/>
      <c r="I24" s="87"/>
      <c r="K24" s="15"/>
      <c r="L24" s="14"/>
      <c r="M24" s="86"/>
      <c r="N24" s="86"/>
      <c r="O24" s="86"/>
      <c r="S24" s="16"/>
      <c r="U24" s="15"/>
      <c r="X24" s="16"/>
    </row>
    <row r="25" spans="2:24" x14ac:dyDescent="0.3">
      <c r="B25" s="74" t="s">
        <v>66</v>
      </c>
      <c r="C25" s="61"/>
      <c r="I25" s="73"/>
      <c r="K25" s="70"/>
      <c r="L25" s="75" t="s">
        <v>23</v>
      </c>
      <c r="M25" s="61"/>
      <c r="N25" s="76"/>
      <c r="O25" s="61"/>
      <c r="S25" s="71"/>
      <c r="U25" s="70"/>
      <c r="V25" s="75"/>
      <c r="W25" s="76"/>
      <c r="X25" s="71"/>
    </row>
    <row r="26" spans="2:24" customFormat="1" ht="3.9" customHeight="1" x14ac:dyDescent="0.3">
      <c r="B26" s="85"/>
      <c r="C26" s="86"/>
      <c r="I26" s="87"/>
      <c r="K26" s="15"/>
      <c r="L26" s="14"/>
      <c r="M26" s="86"/>
      <c r="N26" s="86"/>
      <c r="O26" s="86"/>
      <c r="S26" s="16"/>
      <c r="U26" s="15"/>
      <c r="V26" s="14"/>
      <c r="W26" s="86"/>
      <c r="X26" s="16"/>
    </row>
    <row r="27" spans="2:24" x14ac:dyDescent="0.3">
      <c r="B27" s="74" t="s">
        <v>67</v>
      </c>
      <c r="C27" s="61"/>
      <c r="I27" s="73"/>
      <c r="K27" s="70"/>
      <c r="L27" s="75" t="s">
        <v>25</v>
      </c>
      <c r="M27" s="61"/>
      <c r="N27" s="76"/>
      <c r="O27" s="61"/>
      <c r="S27" s="71"/>
      <c r="U27" s="70"/>
      <c r="V27" s="75"/>
      <c r="W27" s="76"/>
      <c r="X27" s="71"/>
    </row>
    <row r="28" spans="2:24" customFormat="1" ht="3.9" customHeight="1" x14ac:dyDescent="0.3">
      <c r="B28" s="85"/>
      <c r="C28" s="86"/>
      <c r="I28" s="87"/>
      <c r="K28" s="15"/>
      <c r="L28" s="14"/>
      <c r="M28" s="86"/>
      <c r="N28" s="86"/>
      <c r="O28" s="86"/>
      <c r="S28" s="16"/>
      <c r="U28" s="15"/>
      <c r="V28" s="14"/>
      <c r="W28" s="86"/>
      <c r="X28" s="16"/>
    </row>
    <row r="29" spans="2:24" x14ac:dyDescent="0.3">
      <c r="B29" s="74" t="s">
        <v>68</v>
      </c>
      <c r="C29" s="61"/>
      <c r="I29" s="73"/>
      <c r="K29" s="70"/>
      <c r="L29" s="75" t="s">
        <v>27</v>
      </c>
      <c r="M29" s="61"/>
      <c r="N29" s="76"/>
      <c r="O29" s="61"/>
      <c r="S29" s="71"/>
      <c r="U29" s="70"/>
      <c r="V29" s="75"/>
      <c r="W29" s="76"/>
      <c r="X29" s="71"/>
    </row>
    <row r="30" spans="2:24" customFormat="1" ht="3.9" customHeight="1" x14ac:dyDescent="0.3">
      <c r="B30" s="85"/>
      <c r="C30" s="86"/>
      <c r="I30" s="87"/>
      <c r="K30" s="15"/>
      <c r="L30" s="14"/>
      <c r="M30" s="86"/>
      <c r="N30" s="86"/>
      <c r="O30" s="86"/>
      <c r="S30" s="16"/>
      <c r="U30" s="15"/>
      <c r="V30" s="14"/>
      <c r="W30" s="86"/>
      <c r="X30" s="16"/>
    </row>
    <row r="31" spans="2:24" x14ac:dyDescent="0.3">
      <c r="B31" s="74" t="s">
        <v>69</v>
      </c>
      <c r="C31" s="61"/>
      <c r="I31" s="73"/>
      <c r="K31" s="70"/>
      <c r="L31" s="75" t="s">
        <v>29</v>
      </c>
      <c r="M31" s="61"/>
      <c r="N31" s="76"/>
      <c r="O31" s="61"/>
      <c r="S31" s="71"/>
      <c r="U31" s="70"/>
      <c r="X31" s="71"/>
    </row>
    <row r="32" spans="2:24" customFormat="1" ht="3.9" customHeight="1" x14ac:dyDescent="0.3">
      <c r="B32" s="88"/>
      <c r="C32" s="86"/>
      <c r="I32" s="87"/>
      <c r="K32" s="15"/>
      <c r="S32" s="16"/>
      <c r="U32" s="15"/>
      <c r="X32" s="16"/>
    </row>
    <row r="33" spans="2:24" x14ac:dyDescent="0.3">
      <c r="B33" s="74" t="s">
        <v>70</v>
      </c>
      <c r="C33" s="158">
        <f>SUM(C15,C17,C19,C21,C23,C25,C27,C29,C31)</f>
        <v>0</v>
      </c>
      <c r="I33" s="73"/>
      <c r="K33" s="70"/>
      <c r="S33" s="71"/>
      <c r="U33" s="70"/>
      <c r="X33" s="71"/>
    </row>
    <row r="34" spans="2:24" x14ac:dyDescent="0.3">
      <c r="B34" s="74"/>
      <c r="C34" s="76"/>
      <c r="I34" s="73"/>
      <c r="K34" s="70"/>
      <c r="L34" s="75" t="s">
        <v>167</v>
      </c>
      <c r="M34" s="64" t="str">
        <f>IF(M23="","",M19/M23)</f>
        <v/>
      </c>
      <c r="N34" s="255" t="s">
        <v>168</v>
      </c>
      <c r="O34" s="256"/>
      <c r="P34" s="237" t="str">
        <f ca="1">IF('Dados do Aluno'!E8="Feminino",Apoio2!E52,Apoio2!F52)</f>
        <v/>
      </c>
      <c r="Q34" s="238"/>
      <c r="R34" s="239"/>
      <c r="S34" s="71"/>
      <c r="U34" s="70"/>
      <c r="X34" s="71"/>
    </row>
    <row r="35" spans="2:24" x14ac:dyDescent="0.3">
      <c r="B35" s="77"/>
      <c r="C35" s="78"/>
      <c r="D35" s="78"/>
      <c r="E35" s="78"/>
      <c r="F35" s="78"/>
      <c r="G35" s="78"/>
      <c r="H35" s="78"/>
      <c r="I35" s="79"/>
      <c r="K35" s="80"/>
      <c r="L35" s="81"/>
      <c r="M35" s="81"/>
      <c r="N35" s="81"/>
      <c r="O35" s="81"/>
      <c r="P35" s="81"/>
      <c r="Q35" s="81"/>
      <c r="R35" s="81"/>
      <c r="S35" s="82"/>
      <c r="U35" s="80"/>
      <c r="V35" s="81"/>
      <c r="W35" s="81"/>
      <c r="X35" s="82"/>
    </row>
    <row r="36" spans="2:24" ht="4.5" customHeight="1" x14ac:dyDescent="0.3"/>
    <row r="37" spans="2:24" ht="8.4" customHeight="1" x14ac:dyDescent="0.3"/>
    <row r="38" spans="2:24" ht="21.75" customHeight="1" thickBot="1" x14ac:dyDescent="0.35">
      <c r="B38" s="245" t="s">
        <v>156</v>
      </c>
      <c r="C38" s="245"/>
      <c r="D38" s="245"/>
      <c r="E38" s="56"/>
      <c r="F38" s="56"/>
      <c r="G38" s="56"/>
      <c r="H38" s="56"/>
      <c r="I38" s="56"/>
    </row>
    <row r="39" spans="2:24" ht="21.75" customHeight="1" thickTop="1" x14ac:dyDescent="0.3">
      <c r="B39" s="57"/>
      <c r="C39" s="58"/>
      <c r="D39" s="58"/>
      <c r="E39" s="58"/>
      <c r="F39" s="58"/>
      <c r="G39" s="58"/>
      <c r="H39" s="58"/>
      <c r="I39" s="59"/>
    </row>
    <row r="40" spans="2:24" x14ac:dyDescent="0.3">
      <c r="B40" s="244" t="s">
        <v>135</v>
      </c>
      <c r="C40" s="257"/>
      <c r="D40" s="246"/>
      <c r="E40" s="247"/>
      <c r="F40" s="247"/>
      <c r="G40" s="247"/>
      <c r="H40" s="248"/>
      <c r="I40" s="62"/>
    </row>
    <row r="41" spans="2:24" x14ac:dyDescent="0.3">
      <c r="B41" s="94"/>
      <c r="I41" s="62"/>
    </row>
    <row r="42" spans="2:24" x14ac:dyDescent="0.3">
      <c r="B42" s="60" t="s">
        <v>136</v>
      </c>
      <c r="C42" s="83" t="str">
        <f>IFERROR(IF(D40="","",IF('Dados do Aluno'!E8="Masculino",VLOOKUP('Composição Corporal3'!D40,Apoio2!$U$12:$V$14,2,0),IF('Dados do Aluno'!E8="Feminino",VLOOKUP(D40,Apoio2!$X$12:$Y$14,2,0)))),"")</f>
        <v/>
      </c>
      <c r="E42" s="242" t="s">
        <v>140</v>
      </c>
      <c r="F42" s="242"/>
      <c r="G42" s="241"/>
      <c r="H42" s="84">
        <f>IF('Dados do Aluno'!E8="Masculino",'Composição Corporal3'!C6*0.241,'Composição Corporal3'!C6*0.209)</f>
        <v>0</v>
      </c>
      <c r="I42" s="62"/>
    </row>
    <row r="43" spans="2:24" customFormat="1" ht="3.75" customHeight="1" x14ac:dyDescent="0.3">
      <c r="B43" s="95"/>
      <c r="E43" s="85" t="s">
        <v>141</v>
      </c>
      <c r="F43" s="10"/>
      <c r="G43" s="10"/>
      <c r="I43" s="62"/>
    </row>
    <row r="44" spans="2:24" x14ac:dyDescent="0.3">
      <c r="B44" s="60" t="s">
        <v>137</v>
      </c>
      <c r="C44" s="84" t="str">
        <f>IFERROR(IF(C6="","",C6-C46),"")</f>
        <v/>
      </c>
      <c r="E44" s="242" t="s">
        <v>141</v>
      </c>
      <c r="F44" s="242"/>
      <c r="G44" s="241"/>
      <c r="H44" s="84">
        <f>3.02*(C8^2*(W19/100)*(W17/100)*400)^0.712</f>
        <v>0</v>
      </c>
      <c r="I44" s="96"/>
    </row>
    <row r="45" spans="2:24" customFormat="1" ht="3.75" customHeight="1" x14ac:dyDescent="0.3">
      <c r="B45" s="95"/>
      <c r="E45" s="85"/>
      <c r="F45" s="10"/>
      <c r="G45" s="10"/>
      <c r="I45" s="62"/>
    </row>
    <row r="46" spans="2:24" x14ac:dyDescent="0.3">
      <c r="B46" s="98" t="s">
        <v>138</v>
      </c>
      <c r="C46" s="84" t="str">
        <f>IFERROR(IF(C6=0,"",(C6-(C6*C42%))),"")</f>
        <v/>
      </c>
      <c r="D46" s="240" t="s">
        <v>142</v>
      </c>
      <c r="E46" s="242"/>
      <c r="F46" s="242"/>
      <c r="G46" s="241"/>
      <c r="H46" s="83" t="str">
        <f>IF(C42="","",IF('Dados do Aluno'!E8="Masculino",Apoio2!V24,Apoio2!V33))</f>
        <v/>
      </c>
      <c r="I46" s="96"/>
    </row>
    <row r="47" spans="2:24" customFormat="1" ht="3.75" customHeight="1" x14ac:dyDescent="0.3">
      <c r="B47" s="95"/>
      <c r="C47" s="14"/>
      <c r="E47" s="93"/>
      <c r="H47" s="97"/>
      <c r="I47" s="62"/>
    </row>
    <row r="48" spans="2:24" x14ac:dyDescent="0.3">
      <c r="B48" s="60" t="s">
        <v>139</v>
      </c>
      <c r="C48" s="84" t="str">
        <f>IFERROR(IF(C6="","",C6-(C44+H42+H44)),"")</f>
        <v/>
      </c>
      <c r="I48" s="96"/>
    </row>
    <row r="49" spans="2:9" x14ac:dyDescent="0.3">
      <c r="B49" s="65"/>
      <c r="C49" s="66"/>
      <c r="D49" s="66"/>
      <c r="E49" s="66"/>
      <c r="F49" s="66"/>
      <c r="G49" s="66"/>
      <c r="H49" s="66"/>
      <c r="I49" s="67"/>
    </row>
    <row r="52" spans="2:9" x14ac:dyDescent="0.3">
      <c r="B52" s="91" t="str">
        <f>B44</f>
        <v>Massa gorda</v>
      </c>
      <c r="C52" s="92" t="str">
        <f>C44</f>
        <v/>
      </c>
    </row>
    <row r="53" spans="2:9" x14ac:dyDescent="0.3">
      <c r="B53" s="91" t="str">
        <f>B46</f>
        <v>Massa livre de gordura</v>
      </c>
      <c r="C53" s="92" t="str">
        <f>C46</f>
        <v/>
      </c>
    </row>
    <row r="54" spans="2:9" x14ac:dyDescent="0.3">
      <c r="B54" s="91" t="str">
        <f>B48</f>
        <v>Massa muscular</v>
      </c>
      <c r="C54" s="92" t="str">
        <f>C48</f>
        <v/>
      </c>
    </row>
    <row r="55" spans="2:9" x14ac:dyDescent="0.3">
      <c r="B55" s="91" t="str">
        <f>E42</f>
        <v>Massa residual</v>
      </c>
      <c r="C55" s="92">
        <f>H42</f>
        <v>0</v>
      </c>
    </row>
    <row r="56" spans="2:9" x14ac:dyDescent="0.3">
      <c r="B56" s="91" t="str">
        <f>E44</f>
        <v>Massa Óssea</v>
      </c>
      <c r="C56" s="92">
        <f>H44</f>
        <v>0</v>
      </c>
    </row>
  </sheetData>
  <sheetProtection selectLockedCells="1"/>
  <mergeCells count="18">
    <mergeCell ref="C2:D2"/>
    <mergeCell ref="E2:X2"/>
    <mergeCell ref="B4:D4"/>
    <mergeCell ref="B11:D11"/>
    <mergeCell ref="K11:O11"/>
    <mergeCell ref="U11:W11"/>
    <mergeCell ref="L6:W8"/>
    <mergeCell ref="G6:I8"/>
    <mergeCell ref="E6:F8"/>
    <mergeCell ref="N34:O34"/>
    <mergeCell ref="P34:R34"/>
    <mergeCell ref="D46:G46"/>
    <mergeCell ref="C12:E12"/>
    <mergeCell ref="B40:C40"/>
    <mergeCell ref="E42:G42"/>
    <mergeCell ref="E44:G44"/>
    <mergeCell ref="B38:D38"/>
    <mergeCell ref="D40:H40"/>
  </mergeCells>
  <dataValidations count="1">
    <dataValidation type="list" allowBlank="1" showInputMessage="1" showErrorMessage="1" sqref="D40" xr:uid="{00000000-0002-0000-1400-000000000000}">
      <formula1>protocolos</formula1>
    </dataValidation>
  </dataValidations>
  <pageMargins left="0.25" right="0.25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70</vt:i4>
      </vt:variant>
    </vt:vector>
  </HeadingPairs>
  <TitlesOfParts>
    <vt:vector size="95" baseType="lpstr">
      <vt:lpstr>Home</vt:lpstr>
      <vt:lpstr>Instruções</vt:lpstr>
      <vt:lpstr>Dados do Aluno</vt:lpstr>
      <vt:lpstr>Anamnese1</vt:lpstr>
      <vt:lpstr>Apoio2</vt:lpstr>
      <vt:lpstr>Apoio</vt:lpstr>
      <vt:lpstr>Composição Corporal1</vt:lpstr>
      <vt:lpstr>Composição Corporal2</vt:lpstr>
      <vt:lpstr>Composição Corporal3</vt:lpstr>
      <vt:lpstr>Composição Corporal4</vt:lpstr>
      <vt:lpstr>Composição Corporal5</vt:lpstr>
      <vt:lpstr>Composição Corporal6</vt:lpstr>
      <vt:lpstr>Força e Resistência e Aerobico</vt:lpstr>
      <vt:lpstr>Força e Resistência e Aerobico2</vt:lpstr>
      <vt:lpstr>Força e Resistência e Aerobico3</vt:lpstr>
      <vt:lpstr>Força e Resistência e Aerobico4</vt:lpstr>
      <vt:lpstr>Força e Resistência e Aerobico5</vt:lpstr>
      <vt:lpstr>Força e Resistência e Aerobico6</vt:lpstr>
      <vt:lpstr>Flexibilidade1</vt:lpstr>
      <vt:lpstr>Flexibilidade2</vt:lpstr>
      <vt:lpstr>Flexibilidade3</vt:lpstr>
      <vt:lpstr>Flexibilidade4</vt:lpstr>
      <vt:lpstr>Flexibilidade5</vt:lpstr>
      <vt:lpstr>Flexibilidade6</vt:lpstr>
      <vt:lpstr>Relatório</vt:lpstr>
      <vt:lpstr>Anamnese1!Area_de_impressao</vt:lpstr>
      <vt:lpstr>'Composição Corporal1'!Area_de_impressao</vt:lpstr>
      <vt:lpstr>'Composição Corporal2'!Area_de_impressao</vt:lpstr>
      <vt:lpstr>'Composição Corporal3'!Area_de_impressao</vt:lpstr>
      <vt:lpstr>'Composição Corporal4'!Area_de_impressao</vt:lpstr>
      <vt:lpstr>'Composição Corporal5'!Area_de_impressao</vt:lpstr>
      <vt:lpstr>'Composição Corporal6'!Area_de_impressao</vt:lpstr>
      <vt:lpstr>Flexibilidade1!Area_de_impressao</vt:lpstr>
      <vt:lpstr>Flexibilidade2!Area_de_impressao</vt:lpstr>
      <vt:lpstr>Flexibilidade3!Area_de_impressao</vt:lpstr>
      <vt:lpstr>Flexibilidade4!Area_de_impressao</vt:lpstr>
      <vt:lpstr>Flexibilidade5!Area_de_impressao</vt:lpstr>
      <vt:lpstr>Flexibilidade6!Area_de_impressao</vt:lpstr>
      <vt:lpstr>'Força e Resistência e Aerobico'!Area_de_impressao</vt:lpstr>
      <vt:lpstr>'Força e Resistência e Aerobico2'!Area_de_impressao</vt:lpstr>
      <vt:lpstr>'Força e Resistência e Aerobico3'!Area_de_impressao</vt:lpstr>
      <vt:lpstr>'Força e Resistência e Aerobico4'!Area_de_impressao</vt:lpstr>
      <vt:lpstr>'Força e Resistência e Aerobico5'!Area_de_impressao</vt:lpstr>
      <vt:lpstr>'Força e Resistência e Aerobico6'!Area_de_impressao</vt:lpstr>
      <vt:lpstr>Relatório!Area_de_impressao</vt:lpstr>
      <vt:lpstr>coluna30</vt:lpstr>
      <vt:lpstr>GorduraH18</vt:lpstr>
      <vt:lpstr>GorduraH26</vt:lpstr>
      <vt:lpstr>GorduraH36</vt:lpstr>
      <vt:lpstr>GorduraH46</vt:lpstr>
      <vt:lpstr>GorduraH56</vt:lpstr>
      <vt:lpstr>GorduraH65</vt:lpstr>
      <vt:lpstr>GorduraM18</vt:lpstr>
      <vt:lpstr>GorduraM26</vt:lpstr>
      <vt:lpstr>GorduraM36</vt:lpstr>
      <vt:lpstr>GorduraM46</vt:lpstr>
      <vt:lpstr>GorduraM56</vt:lpstr>
      <vt:lpstr>GorduraM65</vt:lpstr>
      <vt:lpstr>Homem13</vt:lpstr>
      <vt:lpstr>Homem20</vt:lpstr>
      <vt:lpstr>Homem30</vt:lpstr>
      <vt:lpstr>Homem40</vt:lpstr>
      <vt:lpstr>Homem50</vt:lpstr>
      <vt:lpstr>Homem61</vt:lpstr>
      <vt:lpstr>Mulher13</vt:lpstr>
      <vt:lpstr>Mulher20</vt:lpstr>
      <vt:lpstr>Mulher30</vt:lpstr>
      <vt:lpstr>Mulher40</vt:lpstr>
      <vt:lpstr>Mulher50</vt:lpstr>
      <vt:lpstr>Mulher61</vt:lpstr>
      <vt:lpstr>protocolos</vt:lpstr>
      <vt:lpstr>RAhomem15</vt:lpstr>
      <vt:lpstr>RAhomem20</vt:lpstr>
      <vt:lpstr>RAhomem30</vt:lpstr>
      <vt:lpstr>RAhomem40</vt:lpstr>
      <vt:lpstr>RAhomem50</vt:lpstr>
      <vt:lpstr>RAhomem60</vt:lpstr>
      <vt:lpstr>RAmulher15</vt:lpstr>
      <vt:lpstr>RAmulher20</vt:lpstr>
      <vt:lpstr>RAmulher30</vt:lpstr>
      <vt:lpstr>RAmulher40</vt:lpstr>
      <vt:lpstr>RAmulher50</vt:lpstr>
      <vt:lpstr>RAmulher60</vt:lpstr>
      <vt:lpstr>RBhomem15</vt:lpstr>
      <vt:lpstr>RBhomem20</vt:lpstr>
      <vt:lpstr>RBhomem30</vt:lpstr>
      <vt:lpstr>RBhomem40</vt:lpstr>
      <vt:lpstr>RBhomem50</vt:lpstr>
      <vt:lpstr>RBhomem60</vt:lpstr>
      <vt:lpstr>RBmulher15</vt:lpstr>
      <vt:lpstr>RBmulher20</vt:lpstr>
      <vt:lpstr>RBmulher30</vt:lpstr>
      <vt:lpstr>RBmulher40</vt:lpstr>
      <vt:lpstr>RBmulher50</vt:lpstr>
      <vt:lpstr>RBmulher60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cp:lastPrinted>2023-04-18T13:56:46Z</cp:lastPrinted>
  <dcterms:created xsi:type="dcterms:W3CDTF">2020-03-11T14:13:18Z</dcterms:created>
  <dcterms:modified xsi:type="dcterms:W3CDTF">2023-04-18T14:30:31Z</dcterms:modified>
</cp:coreProperties>
</file>